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udget Information\"/>
    </mc:Choice>
  </mc:AlternateContent>
  <xr:revisionPtr revIDLastSave="0" documentId="8_{D1AA44FD-90CC-4157-9263-A3CE3935AC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ster service_pricing_codes" sheetId="1" r:id="rId1"/>
  </sheets>
  <definedNames>
    <definedName name="_xlnm._FilterDatabase" localSheetId="0" hidden="1">'Master service_pricing_codes'!$A$1:$Q$1276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D2" i="1"/>
  <c r="K2" i="1"/>
  <c r="L2" i="1"/>
  <c r="M2" i="1"/>
  <c r="N2" i="1"/>
  <c r="C3" i="1"/>
  <c r="D3" i="1"/>
  <c r="H3" i="1"/>
  <c r="K3" i="1"/>
  <c r="L3" i="1"/>
  <c r="M3" i="1"/>
  <c r="N3" i="1"/>
  <c r="C4" i="1"/>
  <c r="D4" i="1"/>
  <c r="K4" i="1"/>
  <c r="L4" i="1"/>
  <c r="M4" i="1"/>
  <c r="N4" i="1"/>
  <c r="C5" i="1"/>
  <c r="D5" i="1"/>
  <c r="K5" i="1"/>
  <c r="L5" i="1"/>
  <c r="M5" i="1"/>
  <c r="N5" i="1"/>
  <c r="C6" i="1"/>
  <c r="D6" i="1"/>
  <c r="H6" i="1"/>
  <c r="K6" i="1"/>
  <c r="L6" i="1"/>
  <c r="M6" i="1"/>
  <c r="N6" i="1"/>
  <c r="C7" i="1"/>
  <c r="D7" i="1"/>
  <c r="K7" i="1"/>
  <c r="C8" i="1"/>
  <c r="D8" i="1"/>
  <c r="H8" i="1"/>
  <c r="K8" i="1"/>
  <c r="L8" i="1"/>
  <c r="M8" i="1"/>
  <c r="N8" i="1"/>
  <c r="C9" i="1"/>
  <c r="D9" i="1"/>
  <c r="K9" i="1"/>
  <c r="L9" i="1"/>
  <c r="M9" i="1"/>
  <c r="N9" i="1"/>
  <c r="C10" i="1"/>
  <c r="D10" i="1"/>
  <c r="H10" i="1"/>
  <c r="K10" i="1"/>
  <c r="L10" i="1"/>
  <c r="M10" i="1"/>
  <c r="N10" i="1"/>
  <c r="C11" i="1"/>
  <c r="D11" i="1"/>
  <c r="H11" i="1"/>
  <c r="K11" i="1"/>
  <c r="L11" i="1"/>
  <c r="M11" i="1"/>
  <c r="N11" i="1"/>
  <c r="C12" i="1"/>
  <c r="D12" i="1"/>
  <c r="H12" i="1"/>
  <c r="K12" i="1"/>
  <c r="L12" i="1"/>
  <c r="M12" i="1"/>
  <c r="N12" i="1"/>
  <c r="C13" i="1"/>
  <c r="D13" i="1"/>
  <c r="H13" i="1"/>
  <c r="K13" i="1"/>
  <c r="L13" i="1"/>
  <c r="M13" i="1"/>
  <c r="N13" i="1"/>
  <c r="C14" i="1"/>
  <c r="D14" i="1"/>
  <c r="H14" i="1"/>
  <c r="K14" i="1"/>
  <c r="L14" i="1"/>
  <c r="M14" i="1"/>
  <c r="N14" i="1"/>
  <c r="C15" i="1"/>
  <c r="D15" i="1"/>
  <c r="H15" i="1"/>
  <c r="K15" i="1"/>
  <c r="L15" i="1"/>
  <c r="M15" i="1"/>
  <c r="N15" i="1"/>
  <c r="C16" i="1"/>
  <c r="D16" i="1"/>
  <c r="H16" i="1"/>
  <c r="K16" i="1"/>
  <c r="L16" i="1"/>
  <c r="M16" i="1"/>
  <c r="N16" i="1"/>
  <c r="C17" i="1"/>
  <c r="D17" i="1"/>
  <c r="H17" i="1"/>
  <c r="K17" i="1"/>
  <c r="L17" i="1"/>
  <c r="M17" i="1"/>
  <c r="N17" i="1"/>
  <c r="C18" i="1"/>
  <c r="D18" i="1"/>
  <c r="H18" i="1"/>
  <c r="K18" i="1"/>
  <c r="L18" i="1"/>
  <c r="M18" i="1"/>
  <c r="N18" i="1"/>
  <c r="C19" i="1"/>
  <c r="D19" i="1"/>
  <c r="H19" i="1"/>
  <c r="K19" i="1"/>
  <c r="L19" i="1"/>
  <c r="M19" i="1"/>
  <c r="N19" i="1"/>
  <c r="C20" i="1"/>
  <c r="D20" i="1"/>
  <c r="H20" i="1"/>
  <c r="K20" i="1"/>
  <c r="L20" i="1"/>
  <c r="M20" i="1"/>
  <c r="N20" i="1"/>
  <c r="C21" i="1"/>
  <c r="D21" i="1"/>
  <c r="H21" i="1"/>
  <c r="K21" i="1"/>
  <c r="L21" i="1"/>
  <c r="M21" i="1"/>
  <c r="N21" i="1"/>
  <c r="C22" i="1"/>
  <c r="D22" i="1"/>
  <c r="H22" i="1"/>
  <c r="K22" i="1"/>
  <c r="L22" i="1"/>
  <c r="M22" i="1"/>
  <c r="N22" i="1"/>
  <c r="C23" i="1"/>
  <c r="D23" i="1"/>
  <c r="H23" i="1"/>
  <c r="K23" i="1"/>
  <c r="L23" i="1"/>
  <c r="M23" i="1"/>
  <c r="N23" i="1"/>
  <c r="C24" i="1"/>
  <c r="D24" i="1"/>
  <c r="H24" i="1"/>
  <c r="K24" i="1"/>
  <c r="L24" i="1"/>
  <c r="M24" i="1"/>
  <c r="N24" i="1"/>
  <c r="C25" i="1"/>
  <c r="D25" i="1"/>
  <c r="K25" i="1"/>
  <c r="C26" i="1"/>
  <c r="D26" i="1"/>
  <c r="H26" i="1"/>
  <c r="K26" i="1"/>
  <c r="L26" i="1"/>
  <c r="M26" i="1"/>
  <c r="N26" i="1"/>
  <c r="C27" i="1"/>
  <c r="D27" i="1"/>
  <c r="H27" i="1"/>
  <c r="K27" i="1"/>
  <c r="L27" i="1"/>
  <c r="M27" i="1"/>
  <c r="N27" i="1"/>
  <c r="C28" i="1"/>
  <c r="D28" i="1"/>
  <c r="H28" i="1"/>
  <c r="K28" i="1"/>
  <c r="L28" i="1"/>
  <c r="M28" i="1"/>
  <c r="N28" i="1"/>
  <c r="C29" i="1"/>
  <c r="D29" i="1"/>
  <c r="H29" i="1"/>
  <c r="K29" i="1"/>
  <c r="L29" i="1"/>
  <c r="M29" i="1"/>
  <c r="N29" i="1"/>
  <c r="C30" i="1"/>
  <c r="D30" i="1"/>
  <c r="H30" i="1"/>
  <c r="K30" i="1"/>
  <c r="L30" i="1"/>
  <c r="M30" i="1"/>
  <c r="N30" i="1"/>
  <c r="C31" i="1"/>
  <c r="D31" i="1"/>
  <c r="H31" i="1"/>
  <c r="K31" i="1"/>
  <c r="L31" i="1"/>
  <c r="M31" i="1"/>
  <c r="N31" i="1"/>
  <c r="C32" i="1"/>
  <c r="D32" i="1"/>
  <c r="H32" i="1"/>
  <c r="K32" i="1"/>
  <c r="L32" i="1"/>
  <c r="M32" i="1"/>
  <c r="N32" i="1"/>
  <c r="C33" i="1"/>
  <c r="D33" i="1"/>
  <c r="H33" i="1"/>
  <c r="K33" i="1"/>
  <c r="L33" i="1"/>
  <c r="M33" i="1"/>
  <c r="N33" i="1"/>
  <c r="C34" i="1"/>
  <c r="D34" i="1"/>
  <c r="H34" i="1"/>
  <c r="K34" i="1"/>
  <c r="C35" i="1"/>
  <c r="D35" i="1"/>
  <c r="H35" i="1"/>
  <c r="K35" i="1"/>
  <c r="L35" i="1"/>
  <c r="M35" i="1"/>
  <c r="N35" i="1"/>
  <c r="C36" i="1"/>
  <c r="D36" i="1"/>
  <c r="H36" i="1"/>
  <c r="K36" i="1"/>
  <c r="L36" i="1"/>
  <c r="M36" i="1"/>
  <c r="N36" i="1"/>
  <c r="C37" i="1"/>
  <c r="D37" i="1"/>
  <c r="H37" i="1"/>
  <c r="K37" i="1"/>
  <c r="L37" i="1"/>
  <c r="M37" i="1"/>
  <c r="N37" i="1"/>
  <c r="C38" i="1"/>
  <c r="D38" i="1"/>
  <c r="H38" i="1"/>
  <c r="K38" i="1"/>
  <c r="L38" i="1"/>
  <c r="M38" i="1"/>
  <c r="N38" i="1"/>
  <c r="C39" i="1"/>
  <c r="D39" i="1"/>
  <c r="H39" i="1"/>
  <c r="K39" i="1"/>
  <c r="L39" i="1"/>
  <c r="M39" i="1"/>
  <c r="N39" i="1"/>
  <c r="C40" i="1"/>
  <c r="D40" i="1"/>
  <c r="H40" i="1"/>
  <c r="K40" i="1"/>
  <c r="L40" i="1"/>
  <c r="M40" i="1"/>
  <c r="N40" i="1"/>
  <c r="C41" i="1"/>
  <c r="D41" i="1"/>
  <c r="H41" i="1"/>
  <c r="K41" i="1"/>
  <c r="C42" i="1"/>
  <c r="D42" i="1"/>
  <c r="H42" i="1"/>
  <c r="K42" i="1"/>
  <c r="C43" i="1"/>
  <c r="D43" i="1"/>
  <c r="H43" i="1"/>
  <c r="K43" i="1"/>
  <c r="L43" i="1"/>
  <c r="M43" i="1"/>
  <c r="N43" i="1"/>
  <c r="C44" i="1"/>
  <c r="D44" i="1"/>
  <c r="H44" i="1"/>
  <c r="K44" i="1"/>
  <c r="L44" i="1"/>
  <c r="M44" i="1"/>
  <c r="N44" i="1"/>
  <c r="C45" i="1"/>
  <c r="D45" i="1"/>
  <c r="H45" i="1"/>
  <c r="K45" i="1"/>
  <c r="C46" i="1"/>
  <c r="D46" i="1"/>
  <c r="H46" i="1"/>
  <c r="K46" i="1"/>
  <c r="C47" i="1"/>
  <c r="D47" i="1"/>
  <c r="H47" i="1"/>
  <c r="K47" i="1"/>
  <c r="L47" i="1"/>
  <c r="M47" i="1"/>
  <c r="N47" i="1"/>
  <c r="C48" i="1"/>
  <c r="D48" i="1"/>
  <c r="H48" i="1"/>
  <c r="K48" i="1"/>
  <c r="L48" i="1"/>
  <c r="M48" i="1"/>
  <c r="N48" i="1"/>
  <c r="C49" i="1"/>
  <c r="D49" i="1"/>
  <c r="H49" i="1"/>
  <c r="K49" i="1"/>
  <c r="C50" i="1"/>
  <c r="D50" i="1"/>
  <c r="H50" i="1"/>
  <c r="K50" i="1"/>
  <c r="C51" i="1"/>
  <c r="D51" i="1"/>
  <c r="H51" i="1"/>
  <c r="K51" i="1"/>
  <c r="L51" i="1"/>
  <c r="M51" i="1"/>
  <c r="N51" i="1"/>
  <c r="C52" i="1"/>
  <c r="D52" i="1"/>
  <c r="H52" i="1"/>
  <c r="K52" i="1"/>
  <c r="L52" i="1"/>
  <c r="M52" i="1"/>
  <c r="N52" i="1"/>
  <c r="C53" i="1"/>
  <c r="D53" i="1"/>
  <c r="H53" i="1"/>
  <c r="K53" i="1"/>
  <c r="L53" i="1"/>
  <c r="M53" i="1"/>
  <c r="N53" i="1"/>
  <c r="C54" i="1"/>
  <c r="D54" i="1"/>
  <c r="H54" i="1"/>
  <c r="K54" i="1"/>
  <c r="C55" i="1"/>
  <c r="D55" i="1"/>
  <c r="H55" i="1"/>
  <c r="K55" i="1"/>
  <c r="C56" i="1"/>
  <c r="D56" i="1"/>
  <c r="H56" i="1"/>
  <c r="K56" i="1"/>
  <c r="L56" i="1"/>
  <c r="M56" i="1"/>
  <c r="N56" i="1"/>
  <c r="C57" i="1"/>
  <c r="D57" i="1"/>
  <c r="H57" i="1"/>
  <c r="K57" i="1"/>
  <c r="C58" i="1"/>
  <c r="D58" i="1"/>
  <c r="H58" i="1"/>
  <c r="K58" i="1"/>
  <c r="C59" i="1"/>
  <c r="D59" i="1"/>
  <c r="H59" i="1"/>
  <c r="K59" i="1"/>
  <c r="C60" i="1"/>
  <c r="D60" i="1"/>
  <c r="H60" i="1"/>
  <c r="K60" i="1"/>
  <c r="L60" i="1"/>
  <c r="M60" i="1"/>
  <c r="N60" i="1"/>
  <c r="C61" i="1"/>
  <c r="D61" i="1"/>
  <c r="H61" i="1"/>
  <c r="K61" i="1"/>
  <c r="L61" i="1"/>
  <c r="M61" i="1"/>
  <c r="N61" i="1"/>
  <c r="C62" i="1"/>
  <c r="D62" i="1"/>
  <c r="H62" i="1"/>
  <c r="K62" i="1"/>
  <c r="L62" i="1"/>
  <c r="M62" i="1"/>
  <c r="N62" i="1"/>
  <c r="C63" i="1"/>
  <c r="D63" i="1"/>
  <c r="H63" i="1"/>
  <c r="K63" i="1"/>
  <c r="C64" i="1"/>
  <c r="D64" i="1"/>
  <c r="H64" i="1"/>
  <c r="K64" i="1"/>
  <c r="C65" i="1"/>
  <c r="D65" i="1"/>
  <c r="H65" i="1"/>
  <c r="K65" i="1"/>
  <c r="L65" i="1"/>
  <c r="M65" i="1"/>
  <c r="N65" i="1"/>
  <c r="C66" i="1"/>
  <c r="D66" i="1"/>
  <c r="H66" i="1"/>
  <c r="K66" i="1"/>
  <c r="L66" i="1"/>
  <c r="M66" i="1"/>
  <c r="N66" i="1"/>
  <c r="C67" i="1"/>
  <c r="D67" i="1"/>
  <c r="H67" i="1"/>
  <c r="K67" i="1"/>
  <c r="L67" i="1"/>
  <c r="M67" i="1"/>
  <c r="N67" i="1"/>
  <c r="C68" i="1"/>
  <c r="D68" i="1"/>
  <c r="H68" i="1"/>
  <c r="K68" i="1"/>
  <c r="L68" i="1"/>
  <c r="M68" i="1"/>
  <c r="N68" i="1"/>
  <c r="C69" i="1"/>
  <c r="D69" i="1"/>
  <c r="H69" i="1"/>
  <c r="K69" i="1"/>
  <c r="C70" i="1"/>
  <c r="D70" i="1"/>
  <c r="H70" i="1"/>
  <c r="K70" i="1"/>
  <c r="L70" i="1"/>
  <c r="M70" i="1"/>
  <c r="N70" i="1"/>
  <c r="C71" i="1"/>
  <c r="D71" i="1"/>
  <c r="H71" i="1"/>
  <c r="K71" i="1"/>
  <c r="L71" i="1"/>
  <c r="M71" i="1"/>
  <c r="N71" i="1"/>
  <c r="C72" i="1"/>
  <c r="D72" i="1"/>
  <c r="H72" i="1"/>
  <c r="K72" i="1"/>
  <c r="L72" i="1"/>
  <c r="M72" i="1"/>
  <c r="N72" i="1"/>
  <c r="C73" i="1"/>
  <c r="D73" i="1"/>
  <c r="H73" i="1"/>
  <c r="K73" i="1"/>
  <c r="L73" i="1"/>
  <c r="M73" i="1"/>
  <c r="N73" i="1"/>
  <c r="C74" i="1"/>
  <c r="D74" i="1"/>
  <c r="H74" i="1"/>
  <c r="K74" i="1"/>
  <c r="L74" i="1"/>
  <c r="M74" i="1"/>
  <c r="N74" i="1"/>
  <c r="C75" i="1"/>
  <c r="D75" i="1"/>
  <c r="H75" i="1"/>
  <c r="K75" i="1"/>
  <c r="L75" i="1"/>
  <c r="M75" i="1"/>
  <c r="N75" i="1"/>
  <c r="C76" i="1"/>
  <c r="D76" i="1"/>
  <c r="H76" i="1"/>
  <c r="K76" i="1"/>
  <c r="L76" i="1"/>
  <c r="M76" i="1"/>
  <c r="N76" i="1"/>
  <c r="C77" i="1"/>
  <c r="D77" i="1"/>
  <c r="H77" i="1"/>
  <c r="K77" i="1"/>
  <c r="L77" i="1"/>
  <c r="M77" i="1"/>
  <c r="N77" i="1"/>
  <c r="C78" i="1"/>
  <c r="D78" i="1"/>
  <c r="H78" i="1"/>
  <c r="K78" i="1"/>
  <c r="L78" i="1"/>
  <c r="M78" i="1"/>
  <c r="N78" i="1"/>
  <c r="C79" i="1"/>
  <c r="D79" i="1"/>
  <c r="H79" i="1"/>
  <c r="K79" i="1"/>
  <c r="L79" i="1"/>
  <c r="M79" i="1"/>
  <c r="N79" i="1"/>
  <c r="C80" i="1"/>
  <c r="D80" i="1"/>
  <c r="H80" i="1"/>
  <c r="K80" i="1"/>
  <c r="L80" i="1"/>
  <c r="M80" i="1"/>
  <c r="N80" i="1"/>
  <c r="C81" i="1"/>
  <c r="D81" i="1"/>
  <c r="H81" i="1"/>
  <c r="K81" i="1"/>
  <c r="L81" i="1"/>
  <c r="M81" i="1"/>
  <c r="N81" i="1"/>
  <c r="C82" i="1"/>
  <c r="D82" i="1"/>
  <c r="H82" i="1"/>
  <c r="K82" i="1"/>
  <c r="L82" i="1"/>
  <c r="M82" i="1"/>
  <c r="N82" i="1"/>
  <c r="C83" i="1"/>
  <c r="D83" i="1"/>
  <c r="H83" i="1"/>
  <c r="K83" i="1"/>
  <c r="L83" i="1"/>
  <c r="M83" i="1"/>
  <c r="N83" i="1"/>
  <c r="C84" i="1"/>
  <c r="D84" i="1"/>
  <c r="H84" i="1"/>
  <c r="K84" i="1"/>
  <c r="L84" i="1"/>
  <c r="M84" i="1"/>
  <c r="N84" i="1"/>
  <c r="C85" i="1"/>
  <c r="D85" i="1"/>
  <c r="H85" i="1"/>
  <c r="K85" i="1"/>
  <c r="L85" i="1"/>
  <c r="M85" i="1"/>
  <c r="N85" i="1"/>
  <c r="C86" i="1"/>
  <c r="D86" i="1"/>
  <c r="H86" i="1"/>
  <c r="K86" i="1"/>
  <c r="L86" i="1"/>
  <c r="M86" i="1"/>
  <c r="N86" i="1"/>
  <c r="C87" i="1"/>
  <c r="D87" i="1"/>
  <c r="H87" i="1"/>
  <c r="K87" i="1"/>
  <c r="L87" i="1"/>
  <c r="M87" i="1"/>
  <c r="N87" i="1"/>
  <c r="C88" i="1"/>
  <c r="D88" i="1"/>
  <c r="H88" i="1"/>
  <c r="K88" i="1"/>
  <c r="L88" i="1"/>
  <c r="M88" i="1"/>
  <c r="N88" i="1"/>
  <c r="C89" i="1"/>
  <c r="D89" i="1"/>
  <c r="H89" i="1"/>
  <c r="K89" i="1"/>
  <c r="L89" i="1"/>
  <c r="M89" i="1"/>
  <c r="N89" i="1"/>
  <c r="C90" i="1"/>
  <c r="D90" i="1"/>
  <c r="H90" i="1"/>
  <c r="K90" i="1"/>
  <c r="L90" i="1"/>
  <c r="M90" i="1"/>
  <c r="N90" i="1"/>
  <c r="C91" i="1"/>
  <c r="D91" i="1"/>
  <c r="H91" i="1"/>
  <c r="K91" i="1"/>
  <c r="L91" i="1"/>
  <c r="M91" i="1"/>
  <c r="N91" i="1"/>
  <c r="C92" i="1"/>
  <c r="D92" i="1"/>
  <c r="H92" i="1"/>
  <c r="K92" i="1"/>
  <c r="L92" i="1"/>
  <c r="M92" i="1"/>
  <c r="N92" i="1"/>
  <c r="C93" i="1"/>
  <c r="D93" i="1"/>
  <c r="H93" i="1"/>
  <c r="K93" i="1"/>
  <c r="L93" i="1"/>
  <c r="M93" i="1"/>
  <c r="N93" i="1"/>
  <c r="C94" i="1"/>
  <c r="D94" i="1"/>
  <c r="H94" i="1"/>
  <c r="K94" i="1"/>
  <c r="L94" i="1"/>
  <c r="M94" i="1"/>
  <c r="N94" i="1"/>
  <c r="C95" i="1"/>
  <c r="D95" i="1"/>
  <c r="H95" i="1"/>
  <c r="K95" i="1"/>
  <c r="L95" i="1"/>
  <c r="M95" i="1"/>
  <c r="N95" i="1"/>
  <c r="C96" i="1"/>
  <c r="D96" i="1"/>
  <c r="H96" i="1"/>
  <c r="K96" i="1"/>
  <c r="L96" i="1"/>
  <c r="M96" i="1"/>
  <c r="N96" i="1"/>
  <c r="C97" i="1"/>
  <c r="D97" i="1"/>
  <c r="H97" i="1"/>
  <c r="K97" i="1"/>
  <c r="L97" i="1"/>
  <c r="M97" i="1"/>
  <c r="N97" i="1"/>
  <c r="C98" i="1"/>
  <c r="D98" i="1"/>
  <c r="H98" i="1"/>
  <c r="K98" i="1"/>
  <c r="L98" i="1"/>
  <c r="M98" i="1"/>
  <c r="N98" i="1"/>
  <c r="C99" i="1"/>
  <c r="D99" i="1"/>
  <c r="H99" i="1"/>
  <c r="K99" i="1"/>
  <c r="L99" i="1"/>
  <c r="M99" i="1"/>
  <c r="N99" i="1"/>
  <c r="C100" i="1"/>
  <c r="D100" i="1"/>
  <c r="H100" i="1"/>
  <c r="K100" i="1"/>
  <c r="L100" i="1"/>
  <c r="M100" i="1"/>
  <c r="N100" i="1"/>
  <c r="C101" i="1"/>
  <c r="D101" i="1"/>
  <c r="H101" i="1"/>
  <c r="K101" i="1"/>
  <c r="L101" i="1"/>
  <c r="M101" i="1"/>
  <c r="N101" i="1"/>
  <c r="C102" i="1"/>
  <c r="D102" i="1"/>
  <c r="H102" i="1"/>
  <c r="K102" i="1"/>
  <c r="L102" i="1"/>
  <c r="M102" i="1"/>
  <c r="N102" i="1"/>
  <c r="C103" i="1"/>
  <c r="D103" i="1"/>
  <c r="H103" i="1"/>
  <c r="K103" i="1"/>
  <c r="L103" i="1"/>
  <c r="M103" i="1"/>
  <c r="N103" i="1"/>
  <c r="C104" i="1"/>
  <c r="D104" i="1"/>
  <c r="H104" i="1"/>
  <c r="K104" i="1"/>
  <c r="L104" i="1"/>
  <c r="M104" i="1"/>
  <c r="N104" i="1"/>
  <c r="C105" i="1"/>
  <c r="D105" i="1"/>
  <c r="K105" i="1"/>
  <c r="C106" i="1"/>
  <c r="D106" i="1"/>
  <c r="K106" i="1"/>
  <c r="C107" i="1"/>
  <c r="D107" i="1"/>
  <c r="H107" i="1"/>
  <c r="K107" i="1"/>
  <c r="L107" i="1"/>
  <c r="M107" i="1"/>
  <c r="N107" i="1"/>
  <c r="C108" i="1"/>
  <c r="D108" i="1"/>
  <c r="K108" i="1"/>
  <c r="L108" i="1"/>
  <c r="M108" i="1"/>
  <c r="N108" i="1"/>
  <c r="C109" i="1"/>
  <c r="D109" i="1"/>
  <c r="H109" i="1"/>
  <c r="K109" i="1"/>
  <c r="L109" i="1"/>
  <c r="M109" i="1"/>
  <c r="N109" i="1"/>
  <c r="C110" i="1"/>
  <c r="D110" i="1"/>
  <c r="H110" i="1"/>
  <c r="K110" i="1"/>
  <c r="L110" i="1"/>
  <c r="M110" i="1"/>
  <c r="N110" i="1"/>
  <c r="C111" i="1"/>
  <c r="D111" i="1"/>
  <c r="H111" i="1"/>
  <c r="K111" i="1"/>
  <c r="L111" i="1"/>
  <c r="M111" i="1"/>
  <c r="N111" i="1"/>
  <c r="C112" i="1"/>
  <c r="D112" i="1"/>
  <c r="H112" i="1"/>
  <c r="K112" i="1"/>
  <c r="L112" i="1"/>
  <c r="M112" i="1"/>
  <c r="N112" i="1"/>
  <c r="C113" i="1"/>
  <c r="D113" i="1"/>
  <c r="H113" i="1"/>
  <c r="K113" i="1"/>
  <c r="L113" i="1"/>
  <c r="M113" i="1"/>
  <c r="N113" i="1"/>
  <c r="C114" i="1"/>
  <c r="D114" i="1"/>
  <c r="H114" i="1"/>
  <c r="K114" i="1"/>
  <c r="L114" i="1"/>
  <c r="M114" i="1"/>
  <c r="N114" i="1"/>
  <c r="C115" i="1"/>
  <c r="D115" i="1"/>
  <c r="H115" i="1"/>
  <c r="K115" i="1"/>
  <c r="L115" i="1"/>
  <c r="M115" i="1"/>
  <c r="N115" i="1"/>
  <c r="C116" i="1"/>
  <c r="D116" i="1"/>
  <c r="H116" i="1"/>
  <c r="K116" i="1"/>
  <c r="L116" i="1"/>
  <c r="M116" i="1"/>
  <c r="N116" i="1"/>
  <c r="C117" i="1"/>
  <c r="D117" i="1"/>
  <c r="H117" i="1"/>
  <c r="K117" i="1"/>
  <c r="L117" i="1"/>
  <c r="M117" i="1"/>
  <c r="N117" i="1"/>
  <c r="C118" i="1"/>
  <c r="D118" i="1"/>
  <c r="H118" i="1"/>
  <c r="K118" i="1"/>
  <c r="L118" i="1"/>
  <c r="M118" i="1"/>
  <c r="N118" i="1"/>
  <c r="C119" i="1"/>
  <c r="D119" i="1"/>
  <c r="H119" i="1"/>
  <c r="K119" i="1"/>
  <c r="L119" i="1"/>
  <c r="M119" i="1"/>
  <c r="N119" i="1"/>
  <c r="C120" i="1"/>
  <c r="D120" i="1"/>
  <c r="H120" i="1"/>
  <c r="K120" i="1"/>
  <c r="L120" i="1"/>
  <c r="M120" i="1"/>
  <c r="N120" i="1"/>
  <c r="C121" i="1"/>
  <c r="D121" i="1"/>
  <c r="H121" i="1"/>
  <c r="K121" i="1"/>
  <c r="L121" i="1"/>
  <c r="M121" i="1"/>
  <c r="N121" i="1"/>
  <c r="C122" i="1"/>
  <c r="D122" i="1"/>
  <c r="H122" i="1"/>
  <c r="K122" i="1"/>
  <c r="L122" i="1"/>
  <c r="M122" i="1"/>
  <c r="N122" i="1"/>
  <c r="C123" i="1"/>
  <c r="D123" i="1"/>
  <c r="H123" i="1"/>
  <c r="K123" i="1"/>
  <c r="L123" i="1"/>
  <c r="M123" i="1"/>
  <c r="N123" i="1"/>
  <c r="C124" i="1"/>
  <c r="D124" i="1"/>
  <c r="H124" i="1"/>
  <c r="K124" i="1"/>
  <c r="L124" i="1"/>
  <c r="M124" i="1"/>
  <c r="N124" i="1"/>
  <c r="C125" i="1"/>
  <c r="D125" i="1"/>
  <c r="H125" i="1"/>
  <c r="K125" i="1"/>
  <c r="L125" i="1"/>
  <c r="M125" i="1"/>
  <c r="N125" i="1"/>
  <c r="C126" i="1"/>
  <c r="D126" i="1"/>
  <c r="H126" i="1"/>
  <c r="K126" i="1"/>
  <c r="L126" i="1"/>
  <c r="M126" i="1"/>
  <c r="N126" i="1"/>
  <c r="C127" i="1"/>
  <c r="D127" i="1"/>
  <c r="H127" i="1"/>
  <c r="K127" i="1"/>
  <c r="L127" i="1"/>
  <c r="M127" i="1"/>
  <c r="N127" i="1"/>
  <c r="C128" i="1"/>
  <c r="D128" i="1"/>
  <c r="H128" i="1"/>
  <c r="K128" i="1"/>
  <c r="L128" i="1"/>
  <c r="M128" i="1"/>
  <c r="N128" i="1"/>
  <c r="C129" i="1"/>
  <c r="D129" i="1"/>
  <c r="H129" i="1"/>
  <c r="K129" i="1"/>
  <c r="L129" i="1"/>
  <c r="M129" i="1"/>
  <c r="N129" i="1"/>
  <c r="C130" i="1"/>
  <c r="D130" i="1"/>
  <c r="K130" i="1"/>
  <c r="C131" i="1"/>
  <c r="D131" i="1"/>
  <c r="K131" i="1"/>
  <c r="C132" i="1"/>
  <c r="D132" i="1"/>
  <c r="H132" i="1"/>
  <c r="K132" i="1"/>
  <c r="L132" i="1"/>
  <c r="M132" i="1"/>
  <c r="N132" i="1"/>
  <c r="C133" i="1"/>
  <c r="D133" i="1"/>
  <c r="H133" i="1"/>
  <c r="K133" i="1"/>
  <c r="L133" i="1"/>
  <c r="M133" i="1"/>
  <c r="N133" i="1"/>
  <c r="C134" i="1"/>
  <c r="D134" i="1"/>
  <c r="H134" i="1"/>
  <c r="K134" i="1"/>
  <c r="L134" i="1"/>
  <c r="M134" i="1"/>
  <c r="N134" i="1"/>
  <c r="C135" i="1"/>
  <c r="D135" i="1"/>
  <c r="H135" i="1"/>
  <c r="K135" i="1"/>
  <c r="L135" i="1"/>
  <c r="M135" i="1"/>
  <c r="N135" i="1"/>
  <c r="C136" i="1"/>
  <c r="D136" i="1"/>
  <c r="H136" i="1"/>
  <c r="K136" i="1"/>
  <c r="L136" i="1"/>
  <c r="M136" i="1"/>
  <c r="N136" i="1"/>
  <c r="C137" i="1"/>
  <c r="D137" i="1"/>
  <c r="H137" i="1"/>
  <c r="K137" i="1"/>
  <c r="L137" i="1"/>
  <c r="M137" i="1"/>
  <c r="N137" i="1"/>
  <c r="C138" i="1"/>
  <c r="D138" i="1"/>
  <c r="H138" i="1"/>
  <c r="K138" i="1"/>
  <c r="L138" i="1"/>
  <c r="M138" i="1"/>
  <c r="N138" i="1"/>
  <c r="C139" i="1"/>
  <c r="D139" i="1"/>
  <c r="H139" i="1"/>
  <c r="K139" i="1"/>
  <c r="L139" i="1"/>
  <c r="M139" i="1"/>
  <c r="N139" i="1"/>
  <c r="C140" i="1"/>
  <c r="D140" i="1"/>
  <c r="H140" i="1"/>
  <c r="K140" i="1"/>
  <c r="L140" i="1"/>
  <c r="M140" i="1"/>
  <c r="N140" i="1"/>
  <c r="C141" i="1"/>
  <c r="D141" i="1"/>
  <c r="H141" i="1"/>
  <c r="K141" i="1"/>
  <c r="L141" i="1"/>
  <c r="M141" i="1"/>
  <c r="N141" i="1"/>
  <c r="C142" i="1"/>
  <c r="D142" i="1"/>
  <c r="H142" i="1"/>
  <c r="K142" i="1"/>
  <c r="L142" i="1"/>
  <c r="M142" i="1"/>
  <c r="N142" i="1"/>
  <c r="C143" i="1"/>
  <c r="D143" i="1"/>
  <c r="H143" i="1"/>
  <c r="K143" i="1"/>
  <c r="L143" i="1"/>
  <c r="M143" i="1"/>
  <c r="N143" i="1"/>
  <c r="C144" i="1"/>
  <c r="D144" i="1"/>
  <c r="H144" i="1"/>
  <c r="K144" i="1"/>
  <c r="L144" i="1"/>
  <c r="M144" i="1"/>
  <c r="N144" i="1"/>
  <c r="C145" i="1"/>
  <c r="D145" i="1"/>
  <c r="H145" i="1"/>
  <c r="K145" i="1"/>
  <c r="L145" i="1"/>
  <c r="M145" i="1"/>
  <c r="N145" i="1"/>
  <c r="C146" i="1"/>
  <c r="D146" i="1"/>
  <c r="H146" i="1"/>
  <c r="K146" i="1"/>
  <c r="L146" i="1"/>
  <c r="M146" i="1"/>
  <c r="N146" i="1"/>
  <c r="C147" i="1"/>
  <c r="D147" i="1"/>
  <c r="H147" i="1"/>
  <c r="K147" i="1"/>
  <c r="L147" i="1"/>
  <c r="M147" i="1"/>
  <c r="N147" i="1"/>
  <c r="C148" i="1"/>
  <c r="D148" i="1"/>
  <c r="H148" i="1"/>
  <c r="K148" i="1"/>
  <c r="L148" i="1"/>
  <c r="M148" i="1"/>
  <c r="N148" i="1"/>
  <c r="C149" i="1"/>
  <c r="D149" i="1"/>
  <c r="H149" i="1"/>
  <c r="K149" i="1"/>
  <c r="L149" i="1"/>
  <c r="M149" i="1"/>
  <c r="N149" i="1"/>
  <c r="C150" i="1"/>
  <c r="D150" i="1"/>
  <c r="H150" i="1"/>
  <c r="K150" i="1"/>
  <c r="L150" i="1"/>
  <c r="M150" i="1"/>
  <c r="N150" i="1"/>
  <c r="C151" i="1"/>
  <c r="D151" i="1"/>
  <c r="H151" i="1"/>
  <c r="K151" i="1"/>
  <c r="L151" i="1"/>
  <c r="M151" i="1"/>
  <c r="N151" i="1"/>
  <c r="C152" i="1"/>
  <c r="D152" i="1"/>
  <c r="H152" i="1"/>
  <c r="K152" i="1"/>
  <c r="L152" i="1"/>
  <c r="M152" i="1"/>
  <c r="N152" i="1"/>
  <c r="C153" i="1"/>
  <c r="D153" i="1"/>
  <c r="H153" i="1"/>
  <c r="K153" i="1"/>
  <c r="L153" i="1"/>
  <c r="M153" i="1"/>
  <c r="N153" i="1"/>
  <c r="C154" i="1"/>
  <c r="D154" i="1"/>
  <c r="H154" i="1"/>
  <c r="K154" i="1"/>
  <c r="L154" i="1"/>
  <c r="M154" i="1"/>
  <c r="N154" i="1"/>
  <c r="C155" i="1"/>
  <c r="D155" i="1"/>
  <c r="H155" i="1"/>
  <c r="K155" i="1"/>
  <c r="L155" i="1"/>
  <c r="M155" i="1"/>
  <c r="N155" i="1"/>
  <c r="C156" i="1"/>
  <c r="D156" i="1"/>
  <c r="H156" i="1"/>
  <c r="K156" i="1"/>
  <c r="L156" i="1"/>
  <c r="M156" i="1"/>
  <c r="N156" i="1"/>
  <c r="C157" i="1"/>
  <c r="D157" i="1"/>
  <c r="H157" i="1"/>
  <c r="K157" i="1"/>
  <c r="L157" i="1"/>
  <c r="M157" i="1"/>
  <c r="N157" i="1"/>
  <c r="C158" i="1"/>
  <c r="D158" i="1"/>
  <c r="H158" i="1"/>
  <c r="K158" i="1"/>
  <c r="L158" i="1"/>
  <c r="M158" i="1"/>
  <c r="N158" i="1"/>
  <c r="C159" i="1"/>
  <c r="D159" i="1"/>
  <c r="H159" i="1"/>
  <c r="K159" i="1"/>
  <c r="L159" i="1"/>
  <c r="M159" i="1"/>
  <c r="N159" i="1"/>
  <c r="C160" i="1"/>
  <c r="D160" i="1"/>
  <c r="H160" i="1"/>
  <c r="K160" i="1"/>
  <c r="L160" i="1"/>
  <c r="M160" i="1"/>
  <c r="N160" i="1"/>
  <c r="C161" i="1"/>
  <c r="D161" i="1"/>
  <c r="H161" i="1"/>
  <c r="K161" i="1"/>
  <c r="L161" i="1"/>
  <c r="M161" i="1"/>
  <c r="N161" i="1"/>
  <c r="C162" i="1"/>
  <c r="D162" i="1"/>
  <c r="H162" i="1"/>
  <c r="K162" i="1"/>
  <c r="L162" i="1"/>
  <c r="M162" i="1"/>
  <c r="N162" i="1"/>
  <c r="C163" i="1"/>
  <c r="D163" i="1"/>
  <c r="H163" i="1"/>
  <c r="K163" i="1"/>
  <c r="L163" i="1"/>
  <c r="M163" i="1"/>
  <c r="N163" i="1"/>
  <c r="C164" i="1"/>
  <c r="D164" i="1"/>
  <c r="H164" i="1"/>
  <c r="K164" i="1"/>
  <c r="L164" i="1"/>
  <c r="M164" i="1"/>
  <c r="N164" i="1"/>
  <c r="C165" i="1"/>
  <c r="D165" i="1"/>
  <c r="H165" i="1"/>
  <c r="K165" i="1"/>
  <c r="L165" i="1"/>
  <c r="M165" i="1"/>
  <c r="N165" i="1"/>
  <c r="C166" i="1"/>
  <c r="D166" i="1"/>
  <c r="H166" i="1"/>
  <c r="K166" i="1"/>
  <c r="L166" i="1"/>
  <c r="M166" i="1"/>
  <c r="N166" i="1"/>
  <c r="C167" i="1"/>
  <c r="D167" i="1"/>
  <c r="H167" i="1"/>
  <c r="K167" i="1"/>
  <c r="L167" i="1"/>
  <c r="M167" i="1"/>
  <c r="N167" i="1"/>
  <c r="C168" i="1"/>
  <c r="D168" i="1"/>
  <c r="H168" i="1"/>
  <c r="K168" i="1"/>
  <c r="L168" i="1"/>
  <c r="M168" i="1"/>
  <c r="N168" i="1"/>
  <c r="C169" i="1"/>
  <c r="D169" i="1"/>
  <c r="H169" i="1"/>
  <c r="K169" i="1"/>
  <c r="L169" i="1"/>
  <c r="M169" i="1"/>
  <c r="N169" i="1"/>
  <c r="C170" i="1"/>
  <c r="D170" i="1"/>
  <c r="H170" i="1"/>
  <c r="K170" i="1"/>
  <c r="L170" i="1"/>
  <c r="M170" i="1"/>
  <c r="N170" i="1"/>
  <c r="C171" i="1"/>
  <c r="D171" i="1"/>
  <c r="H171" i="1"/>
  <c r="K171" i="1"/>
  <c r="L171" i="1"/>
  <c r="M171" i="1"/>
  <c r="N171" i="1"/>
  <c r="C172" i="1"/>
  <c r="D172" i="1"/>
  <c r="H172" i="1"/>
  <c r="K172" i="1"/>
  <c r="L172" i="1"/>
  <c r="M172" i="1"/>
  <c r="N172" i="1"/>
  <c r="C173" i="1"/>
  <c r="D173" i="1"/>
  <c r="H173" i="1"/>
  <c r="K173" i="1"/>
  <c r="L173" i="1"/>
  <c r="M173" i="1"/>
  <c r="N173" i="1"/>
  <c r="C174" i="1"/>
  <c r="D174" i="1"/>
  <c r="H174" i="1"/>
  <c r="K174" i="1"/>
  <c r="L174" i="1"/>
  <c r="M174" i="1"/>
  <c r="N174" i="1"/>
  <c r="C175" i="1"/>
  <c r="D175" i="1"/>
  <c r="H175" i="1"/>
  <c r="K175" i="1"/>
  <c r="L175" i="1"/>
  <c r="M175" i="1"/>
  <c r="N175" i="1"/>
  <c r="C176" i="1"/>
  <c r="D176" i="1"/>
  <c r="H176" i="1"/>
  <c r="K176" i="1"/>
  <c r="L176" i="1"/>
  <c r="M176" i="1"/>
  <c r="N176" i="1"/>
  <c r="C177" i="1"/>
  <c r="D177" i="1"/>
  <c r="K177" i="1"/>
  <c r="C178" i="1"/>
  <c r="D178" i="1"/>
  <c r="K178" i="1"/>
  <c r="C179" i="1"/>
  <c r="D179" i="1"/>
  <c r="H179" i="1"/>
  <c r="K179" i="1"/>
  <c r="L179" i="1"/>
  <c r="M179" i="1"/>
  <c r="N179" i="1"/>
  <c r="C180" i="1"/>
  <c r="D180" i="1"/>
  <c r="H180" i="1"/>
  <c r="K180" i="1"/>
  <c r="L180" i="1"/>
  <c r="M180" i="1"/>
  <c r="N180" i="1"/>
  <c r="C181" i="1"/>
  <c r="D181" i="1"/>
  <c r="H181" i="1"/>
  <c r="K181" i="1"/>
  <c r="L181" i="1"/>
  <c r="M181" i="1"/>
  <c r="N181" i="1"/>
  <c r="C182" i="1"/>
  <c r="D182" i="1"/>
  <c r="H182" i="1"/>
  <c r="K182" i="1"/>
  <c r="L182" i="1"/>
  <c r="M182" i="1"/>
  <c r="N182" i="1"/>
  <c r="C183" i="1"/>
  <c r="D183" i="1"/>
  <c r="H183" i="1"/>
  <c r="K183" i="1"/>
  <c r="L183" i="1"/>
  <c r="M183" i="1"/>
  <c r="N183" i="1"/>
  <c r="C184" i="1"/>
  <c r="D184" i="1"/>
  <c r="H184" i="1"/>
  <c r="K184" i="1"/>
  <c r="L184" i="1"/>
  <c r="M184" i="1"/>
  <c r="N184" i="1"/>
  <c r="C185" i="1"/>
  <c r="D185" i="1"/>
  <c r="H185" i="1"/>
  <c r="K185" i="1"/>
  <c r="L185" i="1"/>
  <c r="M185" i="1"/>
  <c r="N185" i="1"/>
  <c r="C186" i="1"/>
  <c r="D186" i="1"/>
  <c r="H186" i="1"/>
  <c r="K186" i="1"/>
  <c r="L186" i="1"/>
  <c r="M186" i="1"/>
  <c r="N186" i="1"/>
  <c r="C187" i="1"/>
  <c r="D187" i="1"/>
  <c r="H187" i="1"/>
  <c r="K187" i="1"/>
  <c r="L187" i="1"/>
  <c r="M187" i="1"/>
  <c r="N187" i="1"/>
  <c r="C188" i="1"/>
  <c r="D188" i="1"/>
  <c r="H188" i="1"/>
  <c r="K188" i="1"/>
  <c r="L188" i="1"/>
  <c r="M188" i="1"/>
  <c r="N188" i="1"/>
  <c r="C189" i="1"/>
  <c r="D189" i="1"/>
  <c r="H189" i="1"/>
  <c r="K189" i="1"/>
  <c r="L189" i="1"/>
  <c r="M189" i="1"/>
  <c r="N189" i="1"/>
  <c r="C190" i="1"/>
  <c r="D190" i="1"/>
  <c r="H190" i="1"/>
  <c r="K190" i="1"/>
  <c r="L190" i="1"/>
  <c r="M190" i="1"/>
  <c r="N190" i="1"/>
  <c r="C191" i="1"/>
  <c r="D191" i="1"/>
  <c r="H191" i="1"/>
  <c r="K191" i="1"/>
  <c r="L191" i="1"/>
  <c r="M191" i="1"/>
  <c r="N191" i="1"/>
  <c r="C192" i="1"/>
  <c r="D192" i="1"/>
  <c r="H192" i="1"/>
  <c r="K192" i="1"/>
  <c r="L192" i="1"/>
  <c r="M192" i="1"/>
  <c r="N192" i="1"/>
  <c r="C193" i="1"/>
  <c r="D193" i="1"/>
  <c r="H193" i="1"/>
  <c r="K193" i="1"/>
  <c r="L193" i="1"/>
  <c r="M193" i="1"/>
  <c r="N193" i="1"/>
  <c r="C194" i="1"/>
  <c r="D194" i="1"/>
  <c r="H194" i="1"/>
  <c r="K194" i="1"/>
  <c r="L194" i="1"/>
  <c r="M194" i="1"/>
  <c r="N194" i="1"/>
  <c r="C195" i="1"/>
  <c r="D195" i="1"/>
  <c r="H195" i="1"/>
  <c r="K195" i="1"/>
  <c r="L195" i="1"/>
  <c r="M195" i="1"/>
  <c r="N195" i="1"/>
  <c r="C196" i="1"/>
  <c r="D196" i="1"/>
  <c r="H196" i="1"/>
  <c r="K196" i="1"/>
  <c r="L196" i="1"/>
  <c r="M196" i="1"/>
  <c r="N196" i="1"/>
  <c r="C197" i="1"/>
  <c r="D197" i="1"/>
  <c r="H197" i="1"/>
  <c r="K197" i="1"/>
  <c r="L197" i="1"/>
  <c r="M197" i="1"/>
  <c r="N197" i="1"/>
  <c r="C198" i="1"/>
  <c r="D198" i="1"/>
  <c r="H198" i="1"/>
  <c r="K198" i="1"/>
  <c r="L198" i="1"/>
  <c r="M198" i="1"/>
  <c r="N198" i="1"/>
  <c r="C199" i="1"/>
  <c r="D199" i="1"/>
  <c r="H199" i="1"/>
  <c r="K199" i="1"/>
  <c r="L199" i="1"/>
  <c r="M199" i="1"/>
  <c r="N199" i="1"/>
  <c r="C200" i="1"/>
  <c r="D200" i="1"/>
  <c r="H200" i="1"/>
  <c r="K200" i="1"/>
  <c r="L200" i="1"/>
  <c r="M200" i="1"/>
  <c r="N200" i="1"/>
  <c r="C201" i="1"/>
  <c r="D201" i="1"/>
  <c r="H201" i="1"/>
  <c r="K201" i="1"/>
  <c r="L201" i="1"/>
  <c r="M201" i="1"/>
  <c r="N201" i="1"/>
  <c r="C202" i="1"/>
  <c r="D202" i="1"/>
  <c r="H202" i="1"/>
  <c r="K202" i="1"/>
  <c r="L202" i="1"/>
  <c r="M202" i="1"/>
  <c r="N202" i="1"/>
  <c r="C203" i="1"/>
  <c r="D203" i="1"/>
  <c r="H203" i="1"/>
  <c r="K203" i="1"/>
  <c r="L203" i="1"/>
  <c r="M203" i="1"/>
  <c r="N203" i="1"/>
  <c r="C204" i="1"/>
  <c r="D204" i="1"/>
  <c r="H204" i="1"/>
  <c r="K204" i="1"/>
  <c r="L204" i="1"/>
  <c r="M204" i="1"/>
  <c r="N204" i="1"/>
  <c r="C205" i="1"/>
  <c r="D205" i="1"/>
  <c r="H205" i="1"/>
  <c r="K205" i="1"/>
  <c r="L205" i="1"/>
  <c r="M205" i="1"/>
  <c r="N205" i="1"/>
  <c r="C206" i="1"/>
  <c r="D206" i="1"/>
  <c r="H206" i="1"/>
  <c r="K206" i="1"/>
  <c r="L206" i="1"/>
  <c r="M206" i="1"/>
  <c r="N206" i="1"/>
  <c r="C207" i="1"/>
  <c r="D207" i="1"/>
  <c r="H207" i="1"/>
  <c r="K207" i="1"/>
  <c r="L207" i="1"/>
  <c r="M207" i="1"/>
  <c r="N207" i="1"/>
  <c r="C208" i="1"/>
  <c r="D208" i="1"/>
  <c r="H208" i="1"/>
  <c r="K208" i="1"/>
  <c r="L208" i="1"/>
  <c r="M208" i="1"/>
  <c r="N208" i="1"/>
  <c r="C209" i="1"/>
  <c r="D209" i="1"/>
  <c r="H209" i="1"/>
  <c r="K209" i="1"/>
  <c r="L209" i="1"/>
  <c r="M209" i="1"/>
  <c r="N209" i="1"/>
  <c r="C210" i="1"/>
  <c r="D210" i="1"/>
  <c r="H210" i="1"/>
  <c r="K210" i="1"/>
  <c r="L210" i="1"/>
  <c r="M210" i="1"/>
  <c r="N210" i="1"/>
  <c r="C211" i="1"/>
  <c r="D211" i="1"/>
  <c r="K211" i="1"/>
  <c r="L211" i="1"/>
  <c r="M211" i="1"/>
  <c r="N211" i="1"/>
  <c r="C212" i="1"/>
  <c r="D212" i="1"/>
  <c r="H212" i="1"/>
  <c r="K212" i="1"/>
  <c r="L212" i="1"/>
  <c r="M212" i="1"/>
  <c r="N212" i="1"/>
  <c r="C213" i="1"/>
  <c r="D213" i="1"/>
  <c r="H213" i="1"/>
  <c r="K213" i="1"/>
  <c r="L213" i="1"/>
  <c r="M213" i="1"/>
  <c r="N213" i="1"/>
  <c r="C214" i="1"/>
  <c r="D214" i="1"/>
  <c r="H214" i="1"/>
  <c r="K214" i="1"/>
  <c r="L214" i="1"/>
  <c r="M214" i="1"/>
  <c r="N214" i="1"/>
  <c r="C215" i="1"/>
  <c r="D215" i="1"/>
  <c r="H215" i="1"/>
  <c r="K215" i="1"/>
  <c r="L215" i="1"/>
  <c r="M215" i="1"/>
  <c r="N215" i="1"/>
  <c r="C216" i="1"/>
  <c r="D216" i="1"/>
  <c r="H216" i="1"/>
  <c r="K216" i="1"/>
  <c r="L216" i="1"/>
  <c r="M216" i="1"/>
  <c r="N216" i="1"/>
  <c r="C217" i="1"/>
  <c r="D217" i="1"/>
  <c r="H217" i="1"/>
  <c r="K217" i="1"/>
  <c r="L217" i="1"/>
  <c r="M217" i="1"/>
  <c r="N217" i="1"/>
  <c r="C218" i="1"/>
  <c r="D218" i="1"/>
  <c r="H218" i="1"/>
  <c r="K218" i="1"/>
  <c r="L218" i="1"/>
  <c r="M218" i="1"/>
  <c r="N218" i="1"/>
  <c r="C219" i="1"/>
  <c r="D219" i="1"/>
  <c r="H219" i="1"/>
  <c r="K219" i="1"/>
  <c r="L219" i="1"/>
  <c r="M219" i="1"/>
  <c r="N219" i="1"/>
  <c r="C220" i="1"/>
  <c r="D220" i="1"/>
  <c r="H220" i="1"/>
  <c r="K220" i="1"/>
  <c r="L220" i="1"/>
  <c r="M220" i="1"/>
  <c r="N220" i="1"/>
  <c r="C221" i="1"/>
  <c r="D221" i="1"/>
  <c r="H221" i="1"/>
  <c r="K221" i="1"/>
  <c r="L221" i="1"/>
  <c r="M221" i="1"/>
  <c r="N221" i="1"/>
  <c r="C222" i="1"/>
  <c r="D222" i="1"/>
  <c r="H222" i="1"/>
  <c r="K222" i="1"/>
  <c r="L222" i="1"/>
  <c r="M222" i="1"/>
  <c r="N222" i="1"/>
  <c r="C223" i="1"/>
  <c r="D223" i="1"/>
  <c r="H223" i="1"/>
  <c r="K223" i="1"/>
  <c r="L223" i="1"/>
  <c r="M223" i="1"/>
  <c r="N223" i="1"/>
  <c r="C224" i="1"/>
  <c r="D224" i="1"/>
  <c r="H224" i="1"/>
  <c r="K224" i="1"/>
  <c r="L224" i="1"/>
  <c r="M224" i="1"/>
  <c r="N224" i="1"/>
  <c r="C225" i="1"/>
  <c r="D225" i="1"/>
  <c r="H225" i="1"/>
  <c r="K225" i="1"/>
  <c r="L225" i="1"/>
  <c r="M225" i="1"/>
  <c r="N225" i="1"/>
  <c r="C226" i="1"/>
  <c r="D226" i="1"/>
  <c r="H226" i="1"/>
  <c r="K226" i="1"/>
  <c r="C227" i="1"/>
  <c r="D227" i="1"/>
  <c r="H227" i="1"/>
  <c r="K227" i="1"/>
  <c r="L227" i="1"/>
  <c r="M227" i="1"/>
  <c r="N227" i="1"/>
  <c r="C228" i="1"/>
  <c r="D228" i="1"/>
  <c r="H228" i="1"/>
  <c r="K228" i="1"/>
  <c r="L228" i="1"/>
  <c r="M228" i="1"/>
  <c r="N228" i="1"/>
  <c r="C229" i="1"/>
  <c r="D229" i="1"/>
  <c r="H229" i="1"/>
  <c r="K229" i="1"/>
  <c r="L229" i="1"/>
  <c r="M229" i="1"/>
  <c r="N229" i="1"/>
  <c r="C230" i="1"/>
  <c r="D230" i="1"/>
  <c r="H230" i="1"/>
  <c r="K230" i="1"/>
  <c r="L230" i="1"/>
  <c r="M230" i="1"/>
  <c r="N230" i="1"/>
  <c r="C231" i="1"/>
  <c r="D231" i="1"/>
  <c r="H231" i="1"/>
  <c r="K231" i="1"/>
  <c r="L231" i="1"/>
  <c r="M231" i="1"/>
  <c r="N231" i="1"/>
  <c r="C232" i="1"/>
  <c r="D232" i="1"/>
  <c r="H232" i="1"/>
  <c r="K232" i="1"/>
  <c r="L232" i="1"/>
  <c r="M232" i="1"/>
  <c r="N232" i="1"/>
  <c r="C233" i="1"/>
  <c r="D233" i="1"/>
  <c r="H233" i="1"/>
  <c r="K233" i="1"/>
  <c r="L233" i="1"/>
  <c r="M233" i="1"/>
  <c r="N233" i="1"/>
  <c r="C234" i="1"/>
  <c r="D234" i="1"/>
  <c r="H234" i="1"/>
  <c r="K234" i="1"/>
  <c r="L234" i="1"/>
  <c r="M234" i="1"/>
  <c r="N234" i="1"/>
  <c r="C235" i="1"/>
  <c r="D235" i="1"/>
  <c r="H235" i="1"/>
  <c r="K235" i="1"/>
  <c r="L235" i="1"/>
  <c r="M235" i="1"/>
  <c r="N235" i="1"/>
  <c r="C236" i="1"/>
  <c r="D236" i="1"/>
  <c r="H236" i="1"/>
  <c r="K236" i="1"/>
  <c r="L236" i="1"/>
  <c r="M236" i="1"/>
  <c r="N236" i="1"/>
  <c r="C237" i="1"/>
  <c r="D237" i="1"/>
  <c r="H237" i="1"/>
  <c r="K237" i="1"/>
  <c r="L237" i="1"/>
  <c r="M237" i="1"/>
  <c r="N237" i="1"/>
  <c r="C238" i="1"/>
  <c r="D238" i="1"/>
  <c r="H238" i="1"/>
  <c r="K238" i="1"/>
  <c r="L238" i="1"/>
  <c r="M238" i="1"/>
  <c r="N238" i="1"/>
  <c r="C239" i="1"/>
  <c r="D239" i="1"/>
  <c r="H239" i="1"/>
  <c r="K239" i="1"/>
  <c r="C240" i="1"/>
  <c r="D240" i="1"/>
  <c r="H240" i="1"/>
  <c r="K240" i="1"/>
  <c r="L240" i="1"/>
  <c r="M240" i="1"/>
  <c r="N240" i="1"/>
  <c r="C241" i="1"/>
  <c r="D241" i="1"/>
  <c r="H241" i="1"/>
  <c r="K241" i="1"/>
  <c r="L241" i="1"/>
  <c r="M241" i="1"/>
  <c r="N241" i="1"/>
  <c r="C242" i="1"/>
  <c r="D242" i="1"/>
  <c r="K242" i="1"/>
  <c r="C243" i="1"/>
  <c r="D243" i="1"/>
  <c r="H243" i="1"/>
  <c r="K243" i="1"/>
  <c r="L243" i="1"/>
  <c r="M243" i="1"/>
  <c r="N243" i="1"/>
  <c r="C244" i="1"/>
  <c r="D244" i="1"/>
  <c r="H244" i="1"/>
  <c r="K244" i="1"/>
  <c r="L244" i="1"/>
  <c r="M244" i="1"/>
  <c r="N244" i="1"/>
  <c r="C245" i="1"/>
  <c r="D245" i="1"/>
  <c r="H245" i="1"/>
  <c r="K245" i="1"/>
  <c r="L245" i="1"/>
  <c r="M245" i="1"/>
  <c r="N245" i="1"/>
  <c r="C246" i="1"/>
  <c r="D246" i="1"/>
  <c r="H246" i="1"/>
  <c r="K246" i="1"/>
  <c r="L246" i="1"/>
  <c r="M246" i="1"/>
  <c r="N246" i="1"/>
  <c r="C247" i="1"/>
  <c r="D247" i="1"/>
  <c r="H247" i="1"/>
  <c r="K247" i="1"/>
  <c r="C248" i="1"/>
  <c r="D248" i="1"/>
  <c r="H248" i="1"/>
  <c r="K248" i="1"/>
  <c r="L248" i="1"/>
  <c r="M248" i="1"/>
  <c r="N248" i="1"/>
  <c r="C249" i="1"/>
  <c r="D249" i="1"/>
  <c r="H249" i="1"/>
  <c r="K249" i="1"/>
  <c r="L249" i="1"/>
  <c r="M249" i="1"/>
  <c r="N249" i="1"/>
  <c r="C250" i="1"/>
  <c r="D250" i="1"/>
  <c r="H250" i="1"/>
  <c r="K250" i="1"/>
  <c r="L250" i="1"/>
  <c r="M250" i="1"/>
  <c r="N250" i="1"/>
  <c r="C251" i="1"/>
  <c r="D251" i="1"/>
  <c r="H251" i="1"/>
  <c r="K251" i="1"/>
  <c r="L251" i="1"/>
  <c r="M251" i="1"/>
  <c r="N251" i="1"/>
  <c r="C252" i="1"/>
  <c r="D252" i="1"/>
  <c r="H252" i="1"/>
  <c r="K252" i="1"/>
  <c r="L252" i="1"/>
  <c r="M252" i="1"/>
  <c r="N252" i="1"/>
  <c r="C253" i="1"/>
  <c r="D253" i="1"/>
  <c r="H253" i="1"/>
  <c r="K253" i="1"/>
  <c r="L253" i="1"/>
  <c r="M253" i="1"/>
  <c r="N253" i="1"/>
  <c r="C254" i="1"/>
  <c r="D254" i="1"/>
  <c r="H254" i="1"/>
  <c r="K254" i="1"/>
  <c r="L254" i="1"/>
  <c r="M254" i="1"/>
  <c r="N254" i="1"/>
  <c r="C255" i="1"/>
  <c r="D255" i="1"/>
  <c r="K255" i="1"/>
  <c r="C256" i="1"/>
  <c r="D256" i="1"/>
  <c r="K256" i="1"/>
  <c r="C257" i="1"/>
  <c r="D257" i="1"/>
  <c r="K257" i="1"/>
  <c r="C258" i="1"/>
  <c r="D258" i="1"/>
  <c r="H258" i="1"/>
  <c r="K258" i="1"/>
  <c r="L258" i="1"/>
  <c r="M258" i="1"/>
  <c r="N258" i="1"/>
  <c r="C259" i="1"/>
  <c r="D259" i="1"/>
  <c r="H259" i="1"/>
  <c r="K259" i="1"/>
  <c r="L259" i="1"/>
  <c r="M259" i="1"/>
  <c r="N259" i="1"/>
  <c r="C260" i="1"/>
  <c r="D260" i="1"/>
  <c r="H260" i="1"/>
  <c r="K260" i="1"/>
  <c r="L260" i="1"/>
  <c r="M260" i="1"/>
  <c r="N260" i="1"/>
  <c r="C261" i="1"/>
  <c r="D261" i="1"/>
  <c r="H261" i="1"/>
  <c r="K261" i="1"/>
  <c r="L261" i="1"/>
  <c r="M261" i="1"/>
  <c r="N261" i="1"/>
  <c r="C262" i="1"/>
  <c r="D262" i="1"/>
  <c r="H262" i="1"/>
  <c r="K262" i="1"/>
  <c r="L262" i="1"/>
  <c r="M262" i="1"/>
  <c r="N262" i="1"/>
  <c r="C263" i="1"/>
  <c r="D263" i="1"/>
  <c r="H263" i="1"/>
  <c r="K263" i="1"/>
  <c r="L263" i="1"/>
  <c r="M263" i="1"/>
  <c r="N263" i="1"/>
  <c r="C264" i="1"/>
  <c r="D264" i="1"/>
  <c r="H264" i="1"/>
  <c r="K264" i="1"/>
  <c r="L264" i="1"/>
  <c r="M264" i="1"/>
  <c r="N264" i="1"/>
  <c r="C265" i="1"/>
  <c r="D265" i="1"/>
  <c r="K265" i="1"/>
  <c r="C266" i="1"/>
  <c r="D266" i="1"/>
  <c r="K266" i="1"/>
  <c r="C267" i="1"/>
  <c r="D267" i="1"/>
  <c r="K267" i="1"/>
  <c r="C268" i="1"/>
  <c r="D268" i="1"/>
  <c r="K268" i="1"/>
  <c r="C269" i="1"/>
  <c r="D269" i="1"/>
  <c r="H269" i="1"/>
  <c r="K269" i="1"/>
  <c r="L269" i="1"/>
  <c r="M269" i="1"/>
  <c r="N269" i="1"/>
  <c r="C270" i="1"/>
  <c r="D270" i="1"/>
  <c r="K270" i="1"/>
  <c r="C271" i="1"/>
  <c r="D271" i="1"/>
  <c r="K271" i="1"/>
  <c r="C272" i="1"/>
  <c r="D272" i="1"/>
  <c r="K272" i="1"/>
  <c r="C273" i="1"/>
  <c r="D273" i="1"/>
  <c r="H273" i="1"/>
  <c r="K273" i="1"/>
  <c r="L273" i="1"/>
  <c r="M273" i="1"/>
  <c r="N273" i="1"/>
  <c r="C274" i="1"/>
  <c r="D274" i="1"/>
  <c r="H274" i="1"/>
  <c r="K274" i="1"/>
  <c r="L274" i="1"/>
  <c r="M274" i="1"/>
  <c r="N274" i="1"/>
  <c r="C275" i="1"/>
  <c r="D275" i="1"/>
  <c r="H275" i="1"/>
  <c r="K275" i="1"/>
  <c r="L275" i="1"/>
  <c r="M275" i="1"/>
  <c r="N275" i="1"/>
  <c r="C276" i="1"/>
  <c r="D276" i="1"/>
  <c r="H276" i="1"/>
  <c r="K276" i="1"/>
  <c r="L276" i="1"/>
  <c r="M276" i="1"/>
  <c r="N276" i="1"/>
  <c r="C277" i="1"/>
  <c r="D277" i="1"/>
  <c r="H277" i="1"/>
  <c r="K277" i="1"/>
  <c r="L277" i="1"/>
  <c r="M277" i="1"/>
  <c r="N277" i="1"/>
  <c r="C278" i="1"/>
  <c r="D278" i="1"/>
  <c r="K278" i="1"/>
  <c r="C279" i="1"/>
  <c r="D279" i="1"/>
  <c r="K279" i="1"/>
  <c r="C280" i="1"/>
  <c r="D280" i="1"/>
  <c r="K280" i="1"/>
  <c r="C281" i="1"/>
  <c r="D281" i="1"/>
  <c r="H281" i="1"/>
  <c r="K281" i="1"/>
  <c r="L281" i="1"/>
  <c r="M281" i="1"/>
  <c r="N281" i="1"/>
  <c r="C282" i="1"/>
  <c r="D282" i="1"/>
  <c r="H282" i="1"/>
  <c r="K282" i="1"/>
  <c r="L282" i="1"/>
  <c r="M282" i="1"/>
  <c r="N282" i="1"/>
  <c r="C283" i="1"/>
  <c r="D283" i="1"/>
  <c r="H283" i="1"/>
  <c r="K283" i="1"/>
  <c r="L283" i="1"/>
  <c r="M283" i="1"/>
  <c r="N283" i="1"/>
  <c r="C284" i="1"/>
  <c r="D284" i="1"/>
  <c r="H284" i="1"/>
  <c r="K284" i="1"/>
  <c r="L284" i="1"/>
  <c r="M284" i="1"/>
  <c r="N284" i="1"/>
  <c r="C285" i="1"/>
  <c r="D285" i="1"/>
  <c r="H285" i="1"/>
  <c r="K285" i="1"/>
  <c r="L285" i="1"/>
  <c r="M285" i="1"/>
  <c r="N285" i="1"/>
  <c r="C286" i="1"/>
  <c r="D286" i="1"/>
  <c r="K286" i="1"/>
  <c r="C287" i="1"/>
  <c r="D287" i="1"/>
  <c r="K287" i="1"/>
  <c r="C288" i="1"/>
  <c r="D288" i="1"/>
  <c r="H288" i="1"/>
  <c r="K288" i="1"/>
  <c r="L288" i="1"/>
  <c r="M288" i="1"/>
  <c r="N288" i="1"/>
  <c r="C289" i="1"/>
  <c r="D289" i="1"/>
  <c r="H289" i="1"/>
  <c r="K289" i="1"/>
  <c r="L289" i="1"/>
  <c r="M289" i="1"/>
  <c r="N289" i="1"/>
  <c r="C290" i="1"/>
  <c r="D290" i="1"/>
  <c r="H290" i="1"/>
  <c r="K290" i="1"/>
  <c r="L290" i="1"/>
  <c r="M290" i="1"/>
  <c r="N290" i="1"/>
  <c r="C291" i="1"/>
  <c r="D291" i="1"/>
  <c r="K291" i="1"/>
  <c r="C292" i="1"/>
  <c r="D292" i="1"/>
  <c r="H292" i="1"/>
  <c r="K292" i="1"/>
  <c r="L292" i="1"/>
  <c r="M292" i="1"/>
  <c r="N292" i="1"/>
  <c r="C293" i="1"/>
  <c r="D293" i="1"/>
  <c r="K293" i="1"/>
  <c r="C294" i="1"/>
  <c r="D294" i="1"/>
  <c r="K294" i="1"/>
  <c r="C295" i="1"/>
  <c r="D295" i="1"/>
  <c r="H295" i="1"/>
  <c r="K295" i="1"/>
  <c r="L295" i="1"/>
  <c r="M295" i="1"/>
  <c r="N295" i="1"/>
  <c r="C296" i="1"/>
  <c r="D296" i="1"/>
  <c r="H296" i="1"/>
  <c r="K296" i="1"/>
  <c r="L296" i="1"/>
  <c r="M296" i="1"/>
  <c r="N296" i="1"/>
  <c r="C297" i="1"/>
  <c r="D297" i="1"/>
  <c r="H297" i="1"/>
  <c r="K297" i="1"/>
  <c r="L297" i="1"/>
  <c r="M297" i="1"/>
  <c r="N297" i="1"/>
  <c r="C298" i="1"/>
  <c r="D298" i="1"/>
  <c r="H298" i="1"/>
  <c r="K298" i="1"/>
  <c r="L298" i="1"/>
  <c r="M298" i="1"/>
  <c r="N298" i="1"/>
  <c r="C299" i="1"/>
  <c r="D299" i="1"/>
  <c r="H299" i="1"/>
  <c r="K299" i="1"/>
  <c r="L299" i="1"/>
  <c r="M299" i="1"/>
  <c r="N299" i="1"/>
  <c r="C300" i="1"/>
  <c r="D300" i="1"/>
  <c r="H300" i="1"/>
  <c r="K300" i="1"/>
  <c r="L300" i="1"/>
  <c r="M300" i="1"/>
  <c r="N300" i="1"/>
  <c r="C301" i="1"/>
  <c r="D301" i="1"/>
  <c r="K301" i="1"/>
  <c r="C302" i="1"/>
  <c r="D302" i="1"/>
  <c r="H302" i="1"/>
  <c r="K302" i="1"/>
  <c r="L302" i="1"/>
  <c r="M302" i="1"/>
  <c r="N302" i="1"/>
  <c r="C303" i="1"/>
  <c r="D303" i="1"/>
  <c r="H303" i="1"/>
  <c r="K303" i="1"/>
  <c r="L303" i="1"/>
  <c r="M303" i="1"/>
  <c r="N303" i="1"/>
  <c r="C304" i="1"/>
  <c r="D304" i="1"/>
  <c r="H304" i="1"/>
  <c r="K304" i="1"/>
  <c r="L304" i="1"/>
  <c r="M304" i="1"/>
  <c r="N304" i="1"/>
  <c r="C305" i="1"/>
  <c r="D305" i="1"/>
  <c r="H305" i="1"/>
  <c r="K305" i="1"/>
  <c r="L305" i="1"/>
  <c r="M305" i="1"/>
  <c r="N305" i="1"/>
  <c r="C306" i="1"/>
  <c r="D306" i="1"/>
  <c r="H306" i="1"/>
  <c r="K306" i="1"/>
  <c r="L306" i="1"/>
  <c r="M306" i="1"/>
  <c r="N306" i="1"/>
  <c r="C307" i="1"/>
  <c r="D307" i="1"/>
  <c r="H307" i="1"/>
  <c r="K307" i="1"/>
  <c r="L307" i="1"/>
  <c r="M307" i="1"/>
  <c r="N307" i="1"/>
  <c r="C308" i="1"/>
  <c r="D308" i="1"/>
  <c r="H308" i="1"/>
  <c r="K308" i="1"/>
  <c r="L308" i="1"/>
  <c r="M308" i="1"/>
  <c r="N308" i="1"/>
  <c r="C309" i="1"/>
  <c r="D309" i="1"/>
  <c r="H309" i="1"/>
  <c r="K309" i="1"/>
  <c r="L309" i="1"/>
  <c r="M309" i="1"/>
  <c r="N309" i="1"/>
  <c r="C310" i="1"/>
  <c r="D310" i="1"/>
  <c r="K310" i="1"/>
  <c r="C311" i="1"/>
  <c r="D311" i="1"/>
  <c r="H311" i="1"/>
  <c r="K311" i="1"/>
  <c r="L311" i="1"/>
  <c r="M311" i="1"/>
  <c r="N311" i="1"/>
  <c r="C312" i="1"/>
  <c r="D312" i="1"/>
  <c r="H312" i="1"/>
  <c r="K312" i="1"/>
  <c r="L312" i="1"/>
  <c r="M312" i="1"/>
  <c r="N312" i="1"/>
  <c r="C313" i="1"/>
  <c r="D313" i="1"/>
  <c r="H313" i="1"/>
  <c r="K313" i="1"/>
  <c r="L313" i="1"/>
  <c r="M313" i="1"/>
  <c r="N313" i="1"/>
  <c r="C314" i="1"/>
  <c r="D314" i="1"/>
  <c r="H314" i="1"/>
  <c r="K314" i="1"/>
  <c r="L314" i="1"/>
  <c r="M314" i="1"/>
  <c r="N314" i="1"/>
  <c r="C315" i="1"/>
  <c r="D315" i="1"/>
  <c r="K315" i="1"/>
  <c r="C316" i="1"/>
  <c r="D316" i="1"/>
  <c r="K316" i="1"/>
  <c r="C317" i="1"/>
  <c r="D317" i="1"/>
  <c r="H317" i="1"/>
  <c r="K317" i="1"/>
  <c r="L317" i="1"/>
  <c r="M317" i="1"/>
  <c r="N317" i="1"/>
  <c r="C318" i="1"/>
  <c r="D318" i="1"/>
  <c r="H318" i="1"/>
  <c r="K318" i="1"/>
  <c r="L318" i="1"/>
  <c r="M318" i="1"/>
  <c r="N318" i="1"/>
  <c r="C319" i="1"/>
  <c r="D319" i="1"/>
  <c r="H319" i="1"/>
  <c r="K319" i="1"/>
  <c r="L319" i="1"/>
  <c r="M319" i="1"/>
  <c r="N319" i="1"/>
  <c r="C320" i="1"/>
  <c r="D320" i="1"/>
  <c r="H320" i="1"/>
  <c r="K320" i="1"/>
  <c r="L320" i="1"/>
  <c r="M320" i="1"/>
  <c r="N320" i="1"/>
  <c r="C321" i="1"/>
  <c r="D321" i="1"/>
  <c r="H321" i="1"/>
  <c r="K321" i="1"/>
  <c r="L321" i="1"/>
  <c r="M321" i="1"/>
  <c r="N321" i="1"/>
  <c r="C322" i="1"/>
  <c r="D322" i="1"/>
  <c r="H322" i="1"/>
  <c r="K322" i="1"/>
  <c r="L322" i="1"/>
  <c r="M322" i="1"/>
  <c r="N322" i="1"/>
  <c r="C323" i="1"/>
  <c r="D323" i="1"/>
  <c r="H323" i="1"/>
  <c r="K323" i="1"/>
  <c r="L323" i="1"/>
  <c r="M323" i="1"/>
  <c r="N323" i="1"/>
  <c r="C324" i="1"/>
  <c r="D324" i="1"/>
  <c r="H324" i="1"/>
  <c r="K324" i="1"/>
  <c r="L324" i="1"/>
  <c r="M324" i="1"/>
  <c r="N324" i="1"/>
  <c r="C325" i="1"/>
  <c r="D325" i="1"/>
  <c r="H325" i="1"/>
  <c r="K325" i="1"/>
  <c r="L325" i="1"/>
  <c r="M325" i="1"/>
  <c r="N325" i="1"/>
  <c r="C326" i="1"/>
  <c r="D326" i="1"/>
  <c r="H326" i="1"/>
  <c r="K326" i="1"/>
  <c r="L326" i="1"/>
  <c r="M326" i="1"/>
  <c r="N326" i="1"/>
  <c r="C327" i="1"/>
  <c r="D327" i="1"/>
  <c r="K327" i="1"/>
  <c r="C328" i="1"/>
  <c r="D328" i="1"/>
  <c r="H328" i="1"/>
  <c r="K328" i="1"/>
  <c r="L328" i="1"/>
  <c r="M328" i="1"/>
  <c r="N328" i="1"/>
  <c r="C329" i="1"/>
  <c r="D329" i="1"/>
  <c r="H329" i="1"/>
  <c r="K329" i="1"/>
  <c r="L329" i="1"/>
  <c r="M329" i="1"/>
  <c r="N329" i="1"/>
  <c r="C330" i="1"/>
  <c r="D330" i="1"/>
  <c r="K330" i="1"/>
  <c r="C331" i="1"/>
  <c r="D331" i="1"/>
  <c r="H331" i="1"/>
  <c r="K331" i="1"/>
  <c r="L331" i="1"/>
  <c r="M331" i="1"/>
  <c r="N331" i="1"/>
  <c r="C332" i="1"/>
  <c r="D332" i="1"/>
  <c r="H332" i="1"/>
  <c r="K332" i="1"/>
  <c r="L332" i="1"/>
  <c r="M332" i="1"/>
  <c r="N332" i="1"/>
  <c r="C333" i="1"/>
  <c r="D333" i="1"/>
  <c r="H333" i="1"/>
  <c r="K333" i="1"/>
  <c r="L333" i="1"/>
  <c r="M333" i="1"/>
  <c r="N333" i="1"/>
  <c r="C334" i="1"/>
  <c r="D334" i="1"/>
  <c r="H334" i="1"/>
  <c r="K334" i="1"/>
  <c r="L334" i="1"/>
  <c r="M334" i="1"/>
  <c r="N334" i="1"/>
  <c r="C335" i="1"/>
  <c r="D335" i="1"/>
  <c r="H335" i="1"/>
  <c r="K335" i="1"/>
  <c r="L335" i="1"/>
  <c r="M335" i="1"/>
  <c r="N335" i="1"/>
  <c r="C336" i="1"/>
  <c r="D336" i="1"/>
  <c r="H336" i="1"/>
  <c r="K336" i="1"/>
  <c r="L336" i="1"/>
  <c r="M336" i="1"/>
  <c r="N336" i="1"/>
  <c r="C337" i="1"/>
  <c r="D337" i="1"/>
  <c r="H337" i="1"/>
  <c r="K337" i="1"/>
  <c r="L337" i="1"/>
  <c r="M337" i="1"/>
  <c r="N337" i="1"/>
  <c r="C338" i="1"/>
  <c r="D338" i="1"/>
  <c r="H338" i="1"/>
  <c r="K338" i="1"/>
  <c r="L338" i="1"/>
  <c r="M338" i="1"/>
  <c r="N338" i="1"/>
  <c r="C339" i="1"/>
  <c r="D339" i="1"/>
  <c r="K339" i="1"/>
  <c r="L339" i="1"/>
  <c r="M339" i="1"/>
  <c r="N339" i="1"/>
  <c r="C340" i="1"/>
  <c r="D340" i="1"/>
  <c r="H340" i="1"/>
  <c r="K340" i="1"/>
  <c r="L340" i="1"/>
  <c r="M340" i="1"/>
  <c r="N340" i="1"/>
  <c r="C341" i="1"/>
  <c r="D341" i="1"/>
  <c r="H341" i="1"/>
  <c r="K341" i="1"/>
  <c r="L341" i="1"/>
  <c r="M341" i="1"/>
  <c r="N341" i="1"/>
  <c r="C342" i="1"/>
  <c r="D342" i="1"/>
  <c r="H342" i="1"/>
  <c r="K342" i="1"/>
  <c r="L342" i="1"/>
  <c r="M342" i="1"/>
  <c r="N342" i="1"/>
  <c r="C343" i="1"/>
  <c r="D343" i="1"/>
  <c r="H343" i="1"/>
  <c r="K343" i="1"/>
  <c r="L343" i="1"/>
  <c r="M343" i="1"/>
  <c r="N343" i="1"/>
  <c r="C344" i="1"/>
  <c r="D344" i="1"/>
  <c r="H344" i="1"/>
  <c r="K344" i="1"/>
  <c r="L344" i="1"/>
  <c r="M344" i="1"/>
  <c r="N344" i="1"/>
  <c r="C345" i="1"/>
  <c r="D345" i="1"/>
  <c r="H345" i="1"/>
  <c r="K345" i="1"/>
  <c r="L345" i="1"/>
  <c r="M345" i="1"/>
  <c r="N345" i="1"/>
  <c r="C346" i="1"/>
  <c r="D346" i="1"/>
  <c r="H346" i="1"/>
  <c r="K346" i="1"/>
  <c r="L346" i="1"/>
  <c r="M346" i="1"/>
  <c r="N346" i="1"/>
  <c r="C347" i="1"/>
  <c r="D347" i="1"/>
  <c r="H347" i="1"/>
  <c r="K347" i="1"/>
  <c r="L347" i="1"/>
  <c r="M347" i="1"/>
  <c r="N347" i="1"/>
  <c r="C348" i="1"/>
  <c r="D348" i="1"/>
  <c r="H348" i="1"/>
  <c r="K348" i="1"/>
  <c r="L348" i="1"/>
  <c r="M348" i="1"/>
  <c r="N348" i="1"/>
  <c r="C349" i="1"/>
  <c r="D349" i="1"/>
  <c r="H349" i="1"/>
  <c r="K349" i="1"/>
  <c r="L349" i="1"/>
  <c r="M349" i="1"/>
  <c r="N349" i="1"/>
  <c r="C350" i="1"/>
  <c r="D350" i="1"/>
  <c r="H350" i="1"/>
  <c r="K350" i="1"/>
  <c r="L350" i="1"/>
  <c r="M350" i="1"/>
  <c r="N350" i="1"/>
  <c r="C351" i="1"/>
  <c r="D351" i="1"/>
  <c r="H351" i="1"/>
  <c r="K351" i="1"/>
  <c r="L351" i="1"/>
  <c r="M351" i="1"/>
  <c r="N351" i="1"/>
  <c r="C352" i="1"/>
  <c r="D352" i="1"/>
  <c r="H352" i="1"/>
  <c r="K352" i="1"/>
  <c r="L352" i="1"/>
  <c r="M352" i="1"/>
  <c r="N352" i="1"/>
  <c r="C353" i="1"/>
  <c r="D353" i="1"/>
  <c r="K353" i="1"/>
  <c r="C354" i="1"/>
  <c r="D354" i="1"/>
  <c r="H354" i="1"/>
  <c r="K354" i="1"/>
  <c r="L354" i="1"/>
  <c r="M354" i="1"/>
  <c r="N354" i="1"/>
  <c r="C355" i="1"/>
  <c r="D355" i="1"/>
  <c r="K355" i="1"/>
  <c r="C356" i="1"/>
  <c r="D356" i="1"/>
  <c r="K356" i="1"/>
  <c r="C357" i="1"/>
  <c r="D357" i="1"/>
  <c r="H357" i="1"/>
  <c r="K357" i="1"/>
  <c r="L357" i="1"/>
  <c r="M357" i="1"/>
  <c r="N357" i="1"/>
  <c r="C358" i="1"/>
  <c r="D358" i="1"/>
  <c r="H358" i="1"/>
  <c r="K358" i="1"/>
  <c r="L358" i="1"/>
  <c r="M358" i="1"/>
  <c r="N358" i="1"/>
  <c r="C359" i="1"/>
  <c r="D359" i="1"/>
  <c r="H359" i="1"/>
  <c r="K359" i="1"/>
  <c r="L359" i="1"/>
  <c r="M359" i="1"/>
  <c r="N359" i="1"/>
  <c r="C360" i="1"/>
  <c r="D360" i="1"/>
  <c r="H360" i="1"/>
  <c r="K360" i="1"/>
  <c r="L360" i="1"/>
  <c r="M360" i="1"/>
  <c r="N360" i="1"/>
  <c r="C361" i="1"/>
  <c r="D361" i="1"/>
  <c r="H361" i="1"/>
  <c r="K361" i="1"/>
  <c r="L361" i="1"/>
  <c r="M361" i="1"/>
  <c r="N361" i="1"/>
  <c r="C362" i="1"/>
  <c r="D362" i="1"/>
  <c r="K362" i="1"/>
  <c r="L362" i="1"/>
  <c r="M362" i="1"/>
  <c r="N362" i="1"/>
  <c r="C363" i="1"/>
  <c r="D363" i="1"/>
  <c r="H363" i="1"/>
  <c r="K363" i="1"/>
  <c r="L363" i="1"/>
  <c r="M363" i="1"/>
  <c r="N363" i="1"/>
  <c r="C364" i="1"/>
  <c r="D364" i="1"/>
  <c r="H364" i="1"/>
  <c r="K364" i="1"/>
  <c r="L364" i="1"/>
  <c r="M364" i="1"/>
  <c r="N364" i="1"/>
  <c r="C365" i="1"/>
  <c r="D365" i="1"/>
  <c r="H365" i="1"/>
  <c r="K365" i="1"/>
  <c r="L365" i="1"/>
  <c r="M365" i="1"/>
  <c r="N365" i="1"/>
  <c r="C366" i="1"/>
  <c r="D366" i="1"/>
  <c r="H366" i="1"/>
  <c r="K366" i="1"/>
  <c r="L366" i="1"/>
  <c r="M366" i="1"/>
  <c r="N366" i="1"/>
  <c r="C367" i="1"/>
  <c r="D367" i="1"/>
  <c r="H367" i="1"/>
  <c r="K367" i="1"/>
  <c r="L367" i="1"/>
  <c r="M367" i="1"/>
  <c r="N367" i="1"/>
  <c r="C368" i="1"/>
  <c r="D368" i="1"/>
  <c r="H368" i="1"/>
  <c r="K368" i="1"/>
  <c r="L368" i="1"/>
  <c r="M368" i="1"/>
  <c r="N368" i="1"/>
  <c r="C369" i="1"/>
  <c r="D369" i="1"/>
  <c r="H369" i="1"/>
  <c r="K369" i="1"/>
  <c r="L369" i="1"/>
  <c r="M369" i="1"/>
  <c r="N369" i="1"/>
  <c r="C370" i="1"/>
  <c r="D370" i="1"/>
  <c r="H370" i="1"/>
  <c r="K370" i="1"/>
  <c r="L370" i="1"/>
  <c r="M370" i="1"/>
  <c r="N370" i="1"/>
  <c r="C371" i="1"/>
  <c r="D371" i="1"/>
  <c r="H371" i="1"/>
  <c r="K371" i="1"/>
  <c r="L371" i="1"/>
  <c r="M371" i="1"/>
  <c r="N371" i="1"/>
  <c r="C372" i="1"/>
  <c r="D372" i="1"/>
  <c r="H372" i="1"/>
  <c r="K372" i="1"/>
  <c r="L372" i="1"/>
  <c r="M372" i="1"/>
  <c r="N372" i="1"/>
  <c r="C373" i="1"/>
  <c r="D373" i="1"/>
  <c r="H373" i="1"/>
  <c r="K373" i="1"/>
  <c r="L373" i="1"/>
  <c r="M373" i="1"/>
  <c r="N373" i="1"/>
  <c r="C374" i="1"/>
  <c r="D374" i="1"/>
  <c r="H374" i="1"/>
  <c r="K374" i="1"/>
  <c r="L374" i="1"/>
  <c r="M374" i="1"/>
  <c r="N374" i="1"/>
  <c r="C375" i="1"/>
  <c r="D375" i="1"/>
  <c r="H375" i="1"/>
  <c r="K375" i="1"/>
  <c r="L375" i="1"/>
  <c r="M375" i="1"/>
  <c r="N375" i="1"/>
  <c r="C376" i="1"/>
  <c r="D376" i="1"/>
  <c r="H376" i="1"/>
  <c r="K376" i="1"/>
  <c r="L376" i="1"/>
  <c r="M376" i="1"/>
  <c r="N376" i="1"/>
  <c r="C377" i="1"/>
  <c r="D377" i="1"/>
  <c r="H377" i="1"/>
  <c r="K377" i="1"/>
  <c r="L377" i="1"/>
  <c r="M377" i="1"/>
  <c r="N377" i="1"/>
  <c r="C378" i="1"/>
  <c r="D378" i="1"/>
  <c r="H378" i="1"/>
  <c r="K378" i="1"/>
  <c r="L378" i="1"/>
  <c r="M378" i="1"/>
  <c r="N378" i="1"/>
  <c r="C379" i="1"/>
  <c r="D379" i="1"/>
  <c r="H379" i="1"/>
  <c r="K379" i="1"/>
  <c r="L379" i="1"/>
  <c r="M379" i="1"/>
  <c r="N379" i="1"/>
  <c r="C380" i="1"/>
  <c r="D380" i="1"/>
  <c r="H380" i="1"/>
  <c r="K380" i="1"/>
  <c r="L380" i="1"/>
  <c r="M380" i="1"/>
  <c r="N380" i="1"/>
  <c r="C381" i="1"/>
  <c r="D381" i="1"/>
  <c r="H381" i="1"/>
  <c r="K381" i="1"/>
  <c r="L381" i="1"/>
  <c r="M381" i="1"/>
  <c r="N381" i="1"/>
  <c r="C382" i="1"/>
  <c r="D382" i="1"/>
  <c r="H382" i="1"/>
  <c r="K382" i="1"/>
  <c r="L382" i="1"/>
  <c r="M382" i="1"/>
  <c r="N382" i="1"/>
  <c r="C383" i="1"/>
  <c r="D383" i="1"/>
  <c r="H383" i="1"/>
  <c r="K383" i="1"/>
  <c r="L383" i="1"/>
  <c r="M383" i="1"/>
  <c r="N383" i="1"/>
  <c r="C384" i="1"/>
  <c r="D384" i="1"/>
  <c r="H384" i="1"/>
  <c r="K384" i="1"/>
  <c r="L384" i="1"/>
  <c r="M384" i="1"/>
  <c r="N384" i="1"/>
  <c r="C385" i="1"/>
  <c r="D385" i="1"/>
  <c r="H385" i="1"/>
  <c r="K385" i="1"/>
  <c r="L385" i="1"/>
  <c r="M385" i="1"/>
  <c r="N385" i="1"/>
  <c r="C386" i="1"/>
  <c r="D386" i="1"/>
  <c r="K386" i="1"/>
  <c r="C387" i="1"/>
  <c r="D387" i="1"/>
  <c r="H387" i="1"/>
  <c r="K387" i="1"/>
  <c r="L387" i="1"/>
  <c r="M387" i="1"/>
  <c r="N387" i="1"/>
  <c r="C388" i="1"/>
  <c r="D388" i="1"/>
  <c r="H388" i="1"/>
  <c r="K388" i="1"/>
  <c r="L388" i="1"/>
  <c r="M388" i="1"/>
  <c r="N388" i="1"/>
  <c r="C389" i="1"/>
  <c r="D389" i="1"/>
  <c r="H389" i="1"/>
  <c r="K389" i="1"/>
  <c r="L389" i="1"/>
  <c r="M389" i="1"/>
  <c r="N389" i="1"/>
  <c r="C390" i="1"/>
  <c r="D390" i="1"/>
  <c r="H390" i="1"/>
  <c r="K390" i="1"/>
  <c r="L390" i="1"/>
  <c r="M390" i="1"/>
  <c r="N390" i="1"/>
  <c r="C391" i="1"/>
  <c r="D391" i="1"/>
  <c r="H391" i="1"/>
  <c r="K391" i="1"/>
  <c r="L391" i="1"/>
  <c r="M391" i="1"/>
  <c r="N391" i="1"/>
  <c r="C392" i="1"/>
  <c r="D392" i="1"/>
  <c r="H392" i="1"/>
  <c r="K392" i="1"/>
  <c r="L392" i="1"/>
  <c r="M392" i="1"/>
  <c r="N392" i="1"/>
  <c r="C393" i="1"/>
  <c r="D393" i="1"/>
  <c r="H393" i="1"/>
  <c r="K393" i="1"/>
  <c r="L393" i="1"/>
  <c r="M393" i="1"/>
  <c r="N393" i="1"/>
  <c r="C394" i="1"/>
  <c r="D394" i="1"/>
  <c r="H394" i="1"/>
  <c r="K394" i="1"/>
  <c r="L394" i="1"/>
  <c r="M394" i="1"/>
  <c r="N394" i="1"/>
  <c r="C395" i="1"/>
  <c r="D395" i="1"/>
  <c r="H395" i="1"/>
  <c r="K395" i="1"/>
  <c r="L395" i="1"/>
  <c r="M395" i="1"/>
  <c r="N395" i="1"/>
  <c r="C396" i="1"/>
  <c r="D396" i="1"/>
  <c r="K396" i="1"/>
  <c r="C397" i="1"/>
  <c r="D397" i="1"/>
  <c r="H397" i="1"/>
  <c r="K397" i="1"/>
  <c r="L397" i="1"/>
  <c r="M397" i="1"/>
  <c r="N397" i="1"/>
  <c r="C398" i="1"/>
  <c r="D398" i="1"/>
  <c r="H398" i="1"/>
  <c r="K398" i="1"/>
  <c r="L398" i="1"/>
  <c r="M398" i="1"/>
  <c r="N398" i="1"/>
  <c r="C399" i="1"/>
  <c r="D399" i="1"/>
  <c r="H399" i="1"/>
  <c r="K399" i="1"/>
  <c r="L399" i="1"/>
  <c r="M399" i="1"/>
  <c r="N399" i="1"/>
  <c r="C400" i="1"/>
  <c r="D400" i="1"/>
  <c r="H400" i="1"/>
  <c r="K400" i="1"/>
  <c r="L400" i="1"/>
  <c r="M400" i="1"/>
  <c r="N400" i="1"/>
  <c r="C401" i="1"/>
  <c r="D401" i="1"/>
  <c r="H401" i="1"/>
  <c r="K401" i="1"/>
  <c r="L401" i="1"/>
  <c r="M401" i="1"/>
  <c r="N401" i="1"/>
  <c r="C402" i="1"/>
  <c r="D402" i="1"/>
  <c r="H402" i="1"/>
  <c r="K402" i="1"/>
  <c r="L402" i="1"/>
  <c r="M402" i="1"/>
  <c r="N402" i="1"/>
  <c r="C403" i="1"/>
  <c r="D403" i="1"/>
  <c r="H403" i="1"/>
  <c r="K403" i="1"/>
  <c r="L403" i="1"/>
  <c r="M403" i="1"/>
  <c r="N403" i="1"/>
  <c r="C404" i="1"/>
  <c r="D404" i="1"/>
  <c r="H404" i="1"/>
  <c r="K404" i="1"/>
  <c r="L404" i="1"/>
  <c r="M404" i="1"/>
  <c r="N404" i="1"/>
  <c r="C405" i="1"/>
  <c r="D405" i="1"/>
  <c r="H405" i="1"/>
  <c r="K405" i="1"/>
  <c r="L405" i="1"/>
  <c r="M405" i="1"/>
  <c r="N405" i="1"/>
  <c r="C406" i="1"/>
  <c r="D406" i="1"/>
  <c r="H406" i="1"/>
  <c r="K406" i="1"/>
  <c r="L406" i="1"/>
  <c r="M406" i="1"/>
  <c r="N406" i="1"/>
  <c r="C407" i="1"/>
  <c r="D407" i="1"/>
  <c r="H407" i="1"/>
  <c r="K407" i="1"/>
  <c r="L407" i="1"/>
  <c r="M407" i="1"/>
  <c r="N407" i="1"/>
  <c r="C408" i="1"/>
  <c r="D408" i="1"/>
  <c r="H408" i="1"/>
  <c r="K408" i="1"/>
  <c r="L408" i="1"/>
  <c r="M408" i="1"/>
  <c r="N408" i="1"/>
  <c r="C409" i="1"/>
  <c r="D409" i="1"/>
  <c r="H409" i="1"/>
  <c r="K409" i="1"/>
  <c r="L409" i="1"/>
  <c r="M409" i="1"/>
  <c r="N409" i="1"/>
  <c r="C410" i="1"/>
  <c r="D410" i="1"/>
  <c r="H410" i="1"/>
  <c r="K410" i="1"/>
  <c r="L410" i="1"/>
  <c r="M410" i="1"/>
  <c r="N410" i="1"/>
  <c r="C411" i="1"/>
  <c r="D411" i="1"/>
  <c r="H411" i="1"/>
  <c r="K411" i="1"/>
  <c r="L411" i="1"/>
  <c r="M411" i="1"/>
  <c r="N411" i="1"/>
  <c r="C412" i="1"/>
  <c r="D412" i="1"/>
  <c r="H412" i="1"/>
  <c r="K412" i="1"/>
  <c r="L412" i="1"/>
  <c r="M412" i="1"/>
  <c r="N412" i="1"/>
  <c r="C413" i="1"/>
  <c r="D413" i="1"/>
  <c r="H413" i="1"/>
  <c r="K413" i="1"/>
  <c r="L413" i="1"/>
  <c r="M413" i="1"/>
  <c r="N413" i="1"/>
  <c r="C414" i="1"/>
  <c r="D414" i="1"/>
  <c r="H414" i="1"/>
  <c r="K414" i="1"/>
  <c r="L414" i="1"/>
  <c r="M414" i="1"/>
  <c r="N414" i="1"/>
  <c r="C415" i="1"/>
  <c r="D415" i="1"/>
  <c r="H415" i="1"/>
  <c r="K415" i="1"/>
  <c r="L415" i="1"/>
  <c r="M415" i="1"/>
  <c r="N415" i="1"/>
  <c r="C416" i="1"/>
  <c r="D416" i="1"/>
  <c r="H416" i="1"/>
  <c r="K416" i="1"/>
  <c r="L416" i="1"/>
  <c r="M416" i="1"/>
  <c r="N416" i="1"/>
  <c r="C417" i="1"/>
  <c r="D417" i="1"/>
  <c r="H417" i="1"/>
  <c r="K417" i="1"/>
  <c r="L417" i="1"/>
  <c r="M417" i="1"/>
  <c r="N417" i="1"/>
  <c r="C418" i="1"/>
  <c r="D418" i="1"/>
  <c r="H418" i="1"/>
  <c r="K418" i="1"/>
  <c r="L418" i="1"/>
  <c r="M418" i="1"/>
  <c r="N418" i="1"/>
  <c r="C419" i="1"/>
  <c r="D419" i="1"/>
  <c r="H419" i="1"/>
  <c r="K419" i="1"/>
  <c r="L419" i="1"/>
  <c r="M419" i="1"/>
  <c r="N419" i="1"/>
  <c r="C420" i="1"/>
  <c r="D420" i="1"/>
  <c r="H420" i="1"/>
  <c r="K420" i="1"/>
  <c r="L420" i="1"/>
  <c r="M420" i="1"/>
  <c r="N420" i="1"/>
  <c r="C421" i="1"/>
  <c r="D421" i="1"/>
  <c r="H421" i="1"/>
  <c r="K421" i="1"/>
  <c r="L421" i="1"/>
  <c r="M421" i="1"/>
  <c r="N421" i="1"/>
  <c r="C422" i="1"/>
  <c r="D422" i="1"/>
  <c r="H422" i="1"/>
  <c r="K422" i="1"/>
  <c r="L422" i="1"/>
  <c r="M422" i="1"/>
  <c r="N422" i="1"/>
  <c r="C423" i="1"/>
  <c r="D423" i="1"/>
  <c r="H423" i="1"/>
  <c r="K423" i="1"/>
  <c r="L423" i="1"/>
  <c r="M423" i="1"/>
  <c r="N423" i="1"/>
  <c r="C424" i="1"/>
  <c r="D424" i="1"/>
  <c r="H424" i="1"/>
  <c r="K424" i="1"/>
  <c r="L424" i="1"/>
  <c r="M424" i="1"/>
  <c r="N424" i="1"/>
  <c r="C425" i="1"/>
  <c r="D425" i="1"/>
  <c r="H425" i="1"/>
  <c r="K425" i="1"/>
  <c r="L425" i="1"/>
  <c r="M425" i="1"/>
  <c r="N425" i="1"/>
  <c r="C426" i="1"/>
  <c r="D426" i="1"/>
  <c r="H426" i="1"/>
  <c r="K426" i="1"/>
  <c r="L426" i="1"/>
  <c r="M426" i="1"/>
  <c r="N426" i="1"/>
  <c r="C427" i="1"/>
  <c r="D427" i="1"/>
  <c r="K427" i="1"/>
  <c r="L427" i="1"/>
  <c r="M427" i="1"/>
  <c r="N427" i="1"/>
  <c r="C428" i="1"/>
  <c r="D428" i="1"/>
  <c r="H428" i="1"/>
  <c r="K428" i="1"/>
  <c r="L428" i="1"/>
  <c r="M428" i="1"/>
  <c r="N428" i="1"/>
  <c r="C429" i="1"/>
  <c r="D429" i="1"/>
  <c r="H429" i="1"/>
  <c r="K429" i="1"/>
  <c r="L429" i="1"/>
  <c r="M429" i="1"/>
  <c r="N429" i="1"/>
  <c r="C430" i="1"/>
  <c r="D430" i="1"/>
  <c r="H430" i="1"/>
  <c r="K430" i="1"/>
  <c r="L430" i="1"/>
  <c r="M430" i="1"/>
  <c r="N430" i="1"/>
  <c r="C431" i="1"/>
  <c r="D431" i="1"/>
  <c r="H431" i="1"/>
  <c r="K431" i="1"/>
  <c r="L431" i="1"/>
  <c r="M431" i="1"/>
  <c r="N431" i="1"/>
  <c r="C432" i="1"/>
  <c r="D432" i="1"/>
  <c r="K432" i="1"/>
  <c r="C433" i="1"/>
  <c r="D433" i="1"/>
  <c r="H433" i="1"/>
  <c r="K433" i="1"/>
  <c r="L433" i="1"/>
  <c r="M433" i="1"/>
  <c r="N433" i="1"/>
  <c r="C434" i="1"/>
  <c r="D434" i="1"/>
  <c r="H434" i="1"/>
  <c r="K434" i="1"/>
  <c r="L434" i="1"/>
  <c r="M434" i="1"/>
  <c r="N434" i="1"/>
  <c r="C435" i="1"/>
  <c r="D435" i="1"/>
  <c r="H435" i="1"/>
  <c r="K435" i="1"/>
  <c r="L435" i="1"/>
  <c r="M435" i="1"/>
  <c r="N435" i="1"/>
  <c r="C436" i="1"/>
  <c r="D436" i="1"/>
  <c r="H436" i="1"/>
  <c r="K436" i="1"/>
  <c r="L436" i="1"/>
  <c r="M436" i="1"/>
  <c r="N436" i="1"/>
  <c r="C437" i="1"/>
  <c r="D437" i="1"/>
  <c r="H437" i="1"/>
  <c r="K437" i="1"/>
  <c r="L437" i="1"/>
  <c r="M437" i="1"/>
  <c r="N437" i="1"/>
  <c r="C438" i="1"/>
  <c r="D438" i="1"/>
  <c r="H438" i="1"/>
  <c r="K438" i="1"/>
  <c r="L438" i="1"/>
  <c r="M438" i="1"/>
  <c r="N438" i="1"/>
  <c r="C439" i="1"/>
  <c r="D439" i="1"/>
  <c r="H439" i="1"/>
  <c r="K439" i="1"/>
  <c r="L439" i="1"/>
  <c r="M439" i="1"/>
  <c r="N439" i="1"/>
  <c r="C440" i="1"/>
  <c r="D440" i="1"/>
  <c r="H440" i="1"/>
  <c r="K440" i="1"/>
  <c r="L440" i="1"/>
  <c r="M440" i="1"/>
  <c r="N440" i="1"/>
  <c r="C441" i="1"/>
  <c r="D441" i="1"/>
  <c r="H441" i="1"/>
  <c r="K441" i="1"/>
  <c r="L441" i="1"/>
  <c r="M441" i="1"/>
  <c r="N441" i="1"/>
  <c r="C442" i="1"/>
  <c r="D442" i="1"/>
  <c r="K442" i="1"/>
  <c r="C443" i="1"/>
  <c r="D443" i="1"/>
  <c r="H443" i="1"/>
  <c r="K443" i="1"/>
  <c r="L443" i="1"/>
  <c r="M443" i="1"/>
  <c r="N443" i="1"/>
  <c r="C444" i="1"/>
  <c r="D444" i="1"/>
  <c r="H444" i="1"/>
  <c r="K444" i="1"/>
  <c r="L444" i="1"/>
  <c r="M444" i="1"/>
  <c r="N444" i="1"/>
  <c r="C445" i="1"/>
  <c r="D445" i="1"/>
  <c r="H445" i="1"/>
  <c r="K445" i="1"/>
  <c r="L445" i="1"/>
  <c r="M445" i="1"/>
  <c r="N445" i="1"/>
  <c r="C446" i="1"/>
  <c r="D446" i="1"/>
  <c r="H446" i="1"/>
  <c r="K446" i="1"/>
  <c r="L446" i="1"/>
  <c r="M446" i="1"/>
  <c r="N446" i="1"/>
  <c r="C447" i="1"/>
  <c r="D447" i="1"/>
  <c r="H447" i="1"/>
  <c r="K447" i="1"/>
  <c r="L447" i="1"/>
  <c r="M447" i="1"/>
  <c r="N447" i="1"/>
  <c r="C448" i="1"/>
  <c r="D448" i="1"/>
  <c r="H448" i="1"/>
  <c r="K448" i="1"/>
  <c r="L448" i="1"/>
  <c r="M448" i="1"/>
  <c r="N448" i="1"/>
  <c r="C449" i="1"/>
  <c r="D449" i="1"/>
  <c r="H449" i="1"/>
  <c r="K449" i="1"/>
  <c r="L449" i="1"/>
  <c r="M449" i="1"/>
  <c r="N449" i="1"/>
  <c r="C450" i="1"/>
  <c r="D450" i="1"/>
  <c r="H450" i="1"/>
  <c r="K450" i="1"/>
  <c r="L450" i="1"/>
  <c r="M450" i="1"/>
  <c r="N450" i="1"/>
  <c r="C451" i="1"/>
  <c r="D451" i="1"/>
  <c r="H451" i="1"/>
  <c r="K451" i="1"/>
  <c r="L451" i="1"/>
  <c r="M451" i="1"/>
  <c r="N451" i="1"/>
  <c r="C452" i="1"/>
  <c r="D452" i="1"/>
  <c r="H452" i="1"/>
  <c r="K452" i="1"/>
  <c r="L452" i="1"/>
  <c r="M452" i="1"/>
  <c r="N452" i="1"/>
  <c r="C453" i="1"/>
  <c r="D453" i="1"/>
  <c r="H453" i="1"/>
  <c r="K453" i="1"/>
  <c r="L453" i="1"/>
  <c r="M453" i="1"/>
  <c r="N453" i="1"/>
  <c r="C454" i="1"/>
  <c r="D454" i="1"/>
  <c r="H454" i="1"/>
  <c r="K454" i="1"/>
  <c r="L454" i="1"/>
  <c r="M454" i="1"/>
  <c r="N454" i="1"/>
  <c r="C455" i="1"/>
  <c r="D455" i="1"/>
  <c r="H455" i="1"/>
  <c r="K455" i="1"/>
  <c r="L455" i="1"/>
  <c r="M455" i="1"/>
  <c r="N455" i="1"/>
  <c r="C456" i="1"/>
  <c r="D456" i="1"/>
  <c r="K456" i="1"/>
  <c r="C457" i="1"/>
  <c r="D457" i="1"/>
  <c r="H457" i="1"/>
  <c r="K457" i="1"/>
  <c r="L457" i="1"/>
  <c r="M457" i="1"/>
  <c r="N457" i="1"/>
  <c r="C458" i="1"/>
  <c r="D458" i="1"/>
  <c r="H458" i="1"/>
  <c r="K458" i="1"/>
  <c r="L458" i="1"/>
  <c r="M458" i="1"/>
  <c r="N458" i="1"/>
  <c r="C459" i="1"/>
  <c r="D459" i="1"/>
  <c r="H459" i="1"/>
  <c r="K459" i="1"/>
  <c r="L459" i="1"/>
  <c r="M459" i="1"/>
  <c r="N459" i="1"/>
  <c r="C460" i="1"/>
  <c r="D460" i="1"/>
  <c r="H460" i="1"/>
  <c r="K460" i="1"/>
  <c r="L460" i="1"/>
  <c r="M460" i="1"/>
  <c r="N460" i="1"/>
  <c r="C461" i="1"/>
  <c r="D461" i="1"/>
  <c r="H461" i="1"/>
  <c r="K461" i="1"/>
  <c r="L461" i="1"/>
  <c r="M461" i="1"/>
  <c r="N461" i="1"/>
  <c r="C462" i="1"/>
  <c r="D462" i="1"/>
  <c r="H462" i="1"/>
  <c r="K462" i="1"/>
  <c r="L462" i="1"/>
  <c r="M462" i="1"/>
  <c r="N462" i="1"/>
  <c r="C463" i="1"/>
  <c r="D463" i="1"/>
  <c r="H463" i="1"/>
  <c r="K463" i="1"/>
  <c r="L463" i="1"/>
  <c r="M463" i="1"/>
  <c r="N463" i="1"/>
  <c r="C464" i="1"/>
  <c r="D464" i="1"/>
  <c r="H464" i="1"/>
  <c r="K464" i="1"/>
  <c r="L464" i="1"/>
  <c r="M464" i="1"/>
  <c r="N464" i="1"/>
  <c r="C465" i="1"/>
  <c r="D465" i="1"/>
  <c r="H465" i="1"/>
  <c r="K465" i="1"/>
  <c r="L465" i="1"/>
  <c r="M465" i="1"/>
  <c r="N465" i="1"/>
  <c r="C466" i="1"/>
  <c r="D466" i="1"/>
  <c r="H466" i="1"/>
  <c r="K466" i="1"/>
  <c r="L466" i="1"/>
  <c r="M466" i="1"/>
  <c r="N466" i="1"/>
  <c r="C467" i="1"/>
  <c r="D467" i="1"/>
  <c r="H467" i="1"/>
  <c r="K467" i="1"/>
  <c r="L467" i="1"/>
  <c r="M467" i="1"/>
  <c r="N467" i="1"/>
  <c r="C468" i="1"/>
  <c r="D468" i="1"/>
  <c r="H468" i="1"/>
  <c r="K468" i="1"/>
  <c r="L468" i="1"/>
  <c r="M468" i="1"/>
  <c r="N468" i="1"/>
  <c r="C469" i="1"/>
  <c r="D469" i="1"/>
  <c r="H469" i="1"/>
  <c r="K469" i="1"/>
  <c r="L469" i="1"/>
  <c r="M469" i="1"/>
  <c r="N469" i="1"/>
  <c r="C470" i="1"/>
  <c r="D470" i="1"/>
  <c r="H470" i="1"/>
  <c r="K470" i="1"/>
  <c r="L470" i="1"/>
  <c r="M470" i="1"/>
  <c r="N470" i="1"/>
  <c r="C471" i="1"/>
  <c r="D471" i="1"/>
  <c r="K471" i="1"/>
  <c r="L471" i="1"/>
  <c r="M471" i="1"/>
  <c r="N471" i="1"/>
  <c r="C472" i="1"/>
  <c r="D472" i="1"/>
  <c r="H472" i="1"/>
  <c r="K472" i="1"/>
  <c r="L472" i="1"/>
  <c r="M472" i="1"/>
  <c r="N472" i="1"/>
  <c r="C473" i="1"/>
  <c r="D473" i="1"/>
  <c r="H473" i="1"/>
  <c r="K473" i="1"/>
  <c r="L473" i="1"/>
  <c r="M473" i="1"/>
  <c r="N473" i="1"/>
  <c r="C474" i="1"/>
  <c r="D474" i="1"/>
  <c r="H474" i="1"/>
  <c r="K474" i="1"/>
  <c r="L474" i="1"/>
  <c r="M474" i="1"/>
  <c r="N474" i="1"/>
  <c r="C475" i="1"/>
  <c r="D475" i="1"/>
  <c r="K475" i="1"/>
  <c r="C476" i="1"/>
  <c r="D476" i="1"/>
  <c r="H476" i="1"/>
  <c r="K476" i="1"/>
  <c r="L476" i="1"/>
  <c r="M476" i="1"/>
  <c r="N476" i="1"/>
  <c r="C477" i="1"/>
  <c r="D477" i="1"/>
  <c r="H477" i="1"/>
  <c r="K477" i="1"/>
  <c r="L477" i="1"/>
  <c r="M477" i="1"/>
  <c r="N477" i="1"/>
  <c r="C478" i="1"/>
  <c r="D478" i="1"/>
  <c r="H478" i="1"/>
  <c r="K478" i="1"/>
  <c r="L478" i="1"/>
  <c r="M478" i="1"/>
  <c r="N478" i="1"/>
  <c r="C479" i="1"/>
  <c r="D479" i="1"/>
  <c r="H479" i="1"/>
  <c r="K479" i="1"/>
  <c r="L479" i="1"/>
  <c r="M479" i="1"/>
  <c r="N479" i="1"/>
  <c r="C480" i="1"/>
  <c r="D480" i="1"/>
  <c r="H480" i="1"/>
  <c r="K480" i="1"/>
  <c r="L480" i="1"/>
  <c r="M480" i="1"/>
  <c r="N480" i="1"/>
  <c r="C481" i="1"/>
  <c r="D481" i="1"/>
  <c r="H481" i="1"/>
  <c r="K481" i="1"/>
  <c r="L481" i="1"/>
  <c r="M481" i="1"/>
  <c r="N481" i="1"/>
  <c r="C482" i="1"/>
  <c r="D482" i="1"/>
  <c r="H482" i="1"/>
  <c r="K482" i="1"/>
  <c r="L482" i="1"/>
  <c r="M482" i="1"/>
  <c r="N482" i="1"/>
  <c r="C483" i="1"/>
  <c r="D483" i="1"/>
  <c r="K483" i="1"/>
  <c r="C484" i="1"/>
  <c r="D484" i="1"/>
  <c r="H484" i="1"/>
  <c r="K484" i="1"/>
  <c r="L484" i="1"/>
  <c r="M484" i="1"/>
  <c r="N484" i="1"/>
  <c r="C485" i="1"/>
  <c r="D485" i="1"/>
  <c r="H485" i="1"/>
  <c r="K485" i="1"/>
  <c r="L485" i="1"/>
  <c r="M485" i="1"/>
  <c r="N485" i="1"/>
  <c r="C486" i="1"/>
  <c r="D486" i="1"/>
  <c r="H486" i="1"/>
  <c r="K486" i="1"/>
  <c r="L486" i="1"/>
  <c r="M486" i="1"/>
  <c r="N486" i="1"/>
  <c r="C487" i="1"/>
  <c r="D487" i="1"/>
  <c r="H487" i="1"/>
  <c r="K487" i="1"/>
  <c r="L487" i="1"/>
  <c r="M487" i="1"/>
  <c r="N487" i="1"/>
  <c r="C488" i="1"/>
  <c r="D488" i="1"/>
  <c r="K488" i="1"/>
  <c r="C489" i="1"/>
  <c r="D489" i="1"/>
  <c r="H489" i="1"/>
  <c r="K489" i="1"/>
  <c r="L489" i="1"/>
  <c r="M489" i="1"/>
  <c r="N489" i="1"/>
  <c r="C490" i="1"/>
  <c r="D490" i="1"/>
  <c r="H490" i="1"/>
  <c r="K490" i="1"/>
  <c r="L490" i="1"/>
  <c r="M490" i="1"/>
  <c r="N490" i="1"/>
  <c r="C491" i="1"/>
  <c r="D491" i="1"/>
  <c r="K491" i="1"/>
  <c r="C492" i="1"/>
  <c r="D492" i="1"/>
  <c r="K492" i="1"/>
  <c r="C493" i="1"/>
  <c r="D493" i="1"/>
  <c r="H493" i="1"/>
  <c r="K493" i="1"/>
  <c r="L493" i="1"/>
  <c r="M493" i="1"/>
  <c r="N493" i="1"/>
  <c r="C494" i="1"/>
  <c r="D494" i="1"/>
  <c r="H494" i="1"/>
  <c r="K494" i="1"/>
  <c r="L494" i="1"/>
  <c r="M494" i="1"/>
  <c r="N494" i="1"/>
  <c r="C495" i="1"/>
  <c r="D495" i="1"/>
  <c r="H495" i="1"/>
  <c r="K495" i="1"/>
  <c r="L495" i="1"/>
  <c r="M495" i="1"/>
  <c r="N495" i="1"/>
  <c r="C496" i="1"/>
  <c r="D496" i="1"/>
  <c r="H496" i="1"/>
  <c r="K496" i="1"/>
  <c r="L496" i="1"/>
  <c r="M496" i="1"/>
  <c r="N496" i="1"/>
  <c r="C497" i="1"/>
  <c r="D497" i="1"/>
  <c r="H497" i="1"/>
  <c r="K497" i="1"/>
  <c r="L497" i="1"/>
  <c r="M497" i="1"/>
  <c r="N497" i="1"/>
  <c r="C498" i="1"/>
  <c r="D498" i="1"/>
  <c r="H498" i="1"/>
  <c r="K498" i="1"/>
  <c r="L498" i="1"/>
  <c r="M498" i="1"/>
  <c r="N498" i="1"/>
  <c r="C499" i="1"/>
  <c r="D499" i="1"/>
  <c r="H499" i="1"/>
  <c r="K499" i="1"/>
  <c r="L499" i="1"/>
  <c r="M499" i="1"/>
  <c r="N499" i="1"/>
  <c r="C500" i="1"/>
  <c r="D500" i="1"/>
  <c r="H500" i="1"/>
  <c r="K500" i="1"/>
  <c r="L500" i="1"/>
  <c r="M500" i="1"/>
  <c r="N500" i="1"/>
  <c r="C501" i="1"/>
  <c r="D501" i="1"/>
  <c r="H501" i="1"/>
  <c r="K501" i="1"/>
  <c r="L501" i="1"/>
  <c r="M501" i="1"/>
  <c r="N501" i="1"/>
  <c r="C502" i="1"/>
  <c r="D502" i="1"/>
  <c r="H502" i="1"/>
  <c r="K502" i="1"/>
  <c r="L502" i="1"/>
  <c r="M502" i="1"/>
  <c r="N502" i="1"/>
  <c r="C503" i="1"/>
  <c r="D503" i="1"/>
  <c r="H503" i="1"/>
  <c r="K503" i="1"/>
  <c r="L503" i="1"/>
  <c r="M503" i="1"/>
  <c r="N503" i="1"/>
  <c r="C504" i="1"/>
  <c r="D504" i="1"/>
  <c r="H504" i="1"/>
  <c r="K504" i="1"/>
  <c r="L504" i="1"/>
  <c r="M504" i="1"/>
  <c r="N504" i="1"/>
  <c r="C505" i="1"/>
  <c r="D505" i="1"/>
  <c r="H505" i="1"/>
  <c r="K505" i="1"/>
  <c r="L505" i="1"/>
  <c r="M505" i="1"/>
  <c r="N505" i="1"/>
  <c r="C506" i="1"/>
  <c r="D506" i="1"/>
  <c r="K506" i="1"/>
  <c r="C507" i="1"/>
  <c r="D507" i="1"/>
  <c r="H507" i="1"/>
  <c r="K507" i="1"/>
  <c r="L507" i="1"/>
  <c r="M507" i="1"/>
  <c r="N507" i="1"/>
  <c r="C508" i="1"/>
  <c r="D508" i="1"/>
  <c r="H508" i="1"/>
  <c r="K508" i="1"/>
  <c r="L508" i="1"/>
  <c r="M508" i="1"/>
  <c r="N508" i="1"/>
  <c r="C509" i="1"/>
  <c r="D509" i="1"/>
  <c r="H509" i="1"/>
  <c r="K509" i="1"/>
  <c r="L509" i="1"/>
  <c r="M509" i="1"/>
  <c r="N509" i="1"/>
  <c r="C510" i="1"/>
  <c r="D510" i="1"/>
  <c r="H510" i="1"/>
  <c r="K510" i="1"/>
  <c r="L510" i="1"/>
  <c r="M510" i="1"/>
  <c r="N510" i="1"/>
  <c r="C511" i="1"/>
  <c r="D511" i="1"/>
  <c r="H511" i="1"/>
  <c r="K511" i="1"/>
  <c r="L511" i="1"/>
  <c r="M511" i="1"/>
  <c r="N511" i="1"/>
  <c r="C512" i="1"/>
  <c r="D512" i="1"/>
  <c r="H512" i="1"/>
  <c r="K512" i="1"/>
  <c r="L512" i="1"/>
  <c r="M512" i="1"/>
  <c r="N512" i="1"/>
  <c r="C513" i="1"/>
  <c r="D513" i="1"/>
  <c r="H513" i="1"/>
  <c r="K513" i="1"/>
  <c r="L513" i="1"/>
  <c r="M513" i="1"/>
  <c r="N513" i="1"/>
  <c r="C514" i="1"/>
  <c r="D514" i="1"/>
  <c r="H514" i="1"/>
  <c r="K514" i="1"/>
  <c r="L514" i="1"/>
  <c r="M514" i="1"/>
  <c r="N514" i="1"/>
  <c r="C515" i="1"/>
  <c r="D515" i="1"/>
  <c r="H515" i="1"/>
  <c r="K515" i="1"/>
  <c r="L515" i="1"/>
  <c r="M515" i="1"/>
  <c r="N515" i="1"/>
  <c r="C516" i="1"/>
  <c r="D516" i="1"/>
  <c r="H516" i="1"/>
  <c r="K516" i="1"/>
  <c r="L516" i="1"/>
  <c r="M516" i="1"/>
  <c r="N516" i="1"/>
  <c r="C517" i="1"/>
  <c r="D517" i="1"/>
  <c r="H517" i="1"/>
  <c r="K517" i="1"/>
  <c r="L517" i="1"/>
  <c r="M517" i="1"/>
  <c r="N517" i="1"/>
  <c r="C518" i="1"/>
  <c r="D518" i="1"/>
  <c r="K518" i="1"/>
  <c r="C519" i="1"/>
  <c r="D519" i="1"/>
  <c r="H519" i="1"/>
  <c r="K519" i="1"/>
  <c r="L519" i="1"/>
  <c r="M519" i="1"/>
  <c r="N519" i="1"/>
  <c r="C520" i="1"/>
  <c r="D520" i="1"/>
  <c r="H520" i="1"/>
  <c r="K520" i="1"/>
  <c r="L520" i="1"/>
  <c r="M520" i="1"/>
  <c r="N520" i="1"/>
  <c r="C521" i="1"/>
  <c r="D521" i="1"/>
  <c r="H521" i="1"/>
  <c r="K521" i="1"/>
  <c r="L521" i="1"/>
  <c r="M521" i="1"/>
  <c r="N521" i="1"/>
  <c r="C522" i="1"/>
  <c r="D522" i="1"/>
  <c r="H522" i="1"/>
  <c r="K522" i="1"/>
  <c r="L522" i="1"/>
  <c r="M522" i="1"/>
  <c r="N522" i="1"/>
  <c r="C523" i="1"/>
  <c r="D523" i="1"/>
  <c r="H523" i="1"/>
  <c r="K523" i="1"/>
  <c r="L523" i="1"/>
  <c r="M523" i="1"/>
  <c r="N523" i="1"/>
  <c r="C524" i="1"/>
  <c r="D524" i="1"/>
  <c r="K524" i="1"/>
  <c r="C525" i="1"/>
  <c r="D525" i="1"/>
  <c r="H525" i="1"/>
  <c r="K525" i="1"/>
  <c r="L525" i="1"/>
  <c r="M525" i="1"/>
  <c r="N525" i="1"/>
  <c r="C526" i="1"/>
  <c r="D526" i="1"/>
  <c r="H526" i="1"/>
  <c r="K526" i="1"/>
  <c r="L526" i="1"/>
  <c r="M526" i="1"/>
  <c r="N526" i="1"/>
  <c r="C527" i="1"/>
  <c r="D527" i="1"/>
  <c r="H527" i="1"/>
  <c r="K527" i="1"/>
  <c r="L527" i="1"/>
  <c r="M527" i="1"/>
  <c r="N527" i="1"/>
  <c r="C528" i="1"/>
  <c r="D528" i="1"/>
  <c r="H528" i="1"/>
  <c r="K528" i="1"/>
  <c r="L528" i="1"/>
  <c r="M528" i="1"/>
  <c r="N528" i="1"/>
  <c r="C529" i="1"/>
  <c r="D529" i="1"/>
  <c r="H529" i="1"/>
  <c r="K529" i="1"/>
  <c r="L529" i="1"/>
  <c r="M529" i="1"/>
  <c r="N529" i="1"/>
  <c r="C530" i="1"/>
  <c r="D530" i="1"/>
  <c r="H530" i="1"/>
  <c r="K530" i="1"/>
  <c r="L530" i="1"/>
  <c r="M530" i="1"/>
  <c r="N530" i="1"/>
  <c r="C531" i="1"/>
  <c r="D531" i="1"/>
  <c r="H531" i="1"/>
  <c r="K531" i="1"/>
  <c r="L531" i="1"/>
  <c r="M531" i="1"/>
  <c r="N531" i="1"/>
  <c r="C532" i="1"/>
  <c r="D532" i="1"/>
  <c r="H532" i="1"/>
  <c r="K532" i="1"/>
  <c r="L532" i="1"/>
  <c r="M532" i="1"/>
  <c r="N532" i="1"/>
  <c r="C533" i="1"/>
  <c r="D533" i="1"/>
  <c r="H533" i="1"/>
  <c r="K533" i="1"/>
  <c r="L533" i="1"/>
  <c r="M533" i="1"/>
  <c r="N533" i="1"/>
  <c r="C534" i="1"/>
  <c r="D534" i="1"/>
  <c r="H534" i="1"/>
  <c r="K534" i="1"/>
  <c r="L534" i="1"/>
  <c r="M534" i="1"/>
  <c r="N534" i="1"/>
  <c r="C535" i="1"/>
  <c r="D535" i="1"/>
  <c r="H535" i="1"/>
  <c r="K535" i="1"/>
  <c r="L535" i="1"/>
  <c r="M535" i="1"/>
  <c r="N535" i="1"/>
  <c r="C536" i="1"/>
  <c r="D536" i="1"/>
  <c r="H536" i="1"/>
  <c r="K536" i="1"/>
  <c r="L536" i="1"/>
  <c r="M536" i="1"/>
  <c r="N536" i="1"/>
  <c r="C537" i="1"/>
  <c r="D537" i="1"/>
  <c r="H537" i="1"/>
  <c r="K537" i="1"/>
  <c r="L537" i="1"/>
  <c r="M537" i="1"/>
  <c r="N537" i="1"/>
  <c r="C538" i="1"/>
  <c r="D538" i="1"/>
  <c r="H538" i="1"/>
  <c r="K538" i="1"/>
  <c r="L538" i="1"/>
  <c r="M538" i="1"/>
  <c r="N538" i="1"/>
  <c r="C539" i="1"/>
  <c r="D539" i="1"/>
  <c r="H539" i="1"/>
  <c r="K539" i="1"/>
  <c r="L539" i="1"/>
  <c r="M539" i="1"/>
  <c r="N539" i="1"/>
  <c r="C540" i="1"/>
  <c r="D540" i="1"/>
  <c r="H540" i="1"/>
  <c r="K540" i="1"/>
  <c r="L540" i="1"/>
  <c r="M540" i="1"/>
  <c r="N540" i="1"/>
  <c r="C541" i="1"/>
  <c r="D541" i="1"/>
  <c r="H541" i="1"/>
  <c r="K541" i="1"/>
  <c r="L541" i="1"/>
  <c r="M541" i="1"/>
  <c r="N541" i="1"/>
  <c r="C542" i="1"/>
  <c r="D542" i="1"/>
  <c r="H542" i="1"/>
  <c r="K542" i="1"/>
  <c r="L542" i="1"/>
  <c r="M542" i="1"/>
  <c r="N542" i="1"/>
  <c r="C543" i="1"/>
  <c r="D543" i="1"/>
  <c r="H543" i="1"/>
  <c r="K543" i="1"/>
  <c r="L543" i="1"/>
  <c r="M543" i="1"/>
  <c r="N543" i="1"/>
  <c r="C544" i="1"/>
  <c r="D544" i="1"/>
  <c r="H544" i="1"/>
  <c r="K544" i="1"/>
  <c r="L544" i="1"/>
  <c r="M544" i="1"/>
  <c r="N544" i="1"/>
  <c r="C545" i="1"/>
  <c r="D545" i="1"/>
  <c r="H545" i="1"/>
  <c r="K545" i="1"/>
  <c r="L545" i="1"/>
  <c r="M545" i="1"/>
  <c r="N545" i="1"/>
  <c r="C546" i="1"/>
  <c r="D546" i="1"/>
  <c r="H546" i="1"/>
  <c r="K546" i="1"/>
  <c r="L546" i="1"/>
  <c r="M546" i="1"/>
  <c r="N546" i="1"/>
  <c r="C547" i="1"/>
  <c r="D547" i="1"/>
  <c r="H547" i="1"/>
  <c r="K547" i="1"/>
  <c r="L547" i="1"/>
  <c r="M547" i="1"/>
  <c r="N547" i="1"/>
  <c r="C548" i="1"/>
  <c r="D548" i="1"/>
  <c r="H548" i="1"/>
  <c r="K548" i="1"/>
  <c r="L548" i="1"/>
  <c r="M548" i="1"/>
  <c r="N548" i="1"/>
  <c r="C549" i="1"/>
  <c r="D549" i="1"/>
  <c r="H549" i="1"/>
  <c r="K549" i="1"/>
  <c r="L549" i="1"/>
  <c r="M549" i="1"/>
  <c r="N549" i="1"/>
  <c r="C550" i="1"/>
  <c r="D550" i="1"/>
  <c r="H550" i="1"/>
  <c r="K550" i="1"/>
  <c r="L550" i="1"/>
  <c r="M550" i="1"/>
  <c r="N550" i="1"/>
  <c r="C551" i="1"/>
  <c r="D551" i="1"/>
  <c r="H551" i="1"/>
  <c r="K551" i="1"/>
  <c r="L551" i="1"/>
  <c r="M551" i="1"/>
  <c r="N551" i="1"/>
  <c r="C552" i="1"/>
  <c r="D552" i="1"/>
  <c r="H552" i="1"/>
  <c r="K552" i="1"/>
  <c r="L552" i="1"/>
  <c r="M552" i="1"/>
  <c r="N552" i="1"/>
  <c r="C553" i="1"/>
  <c r="D553" i="1"/>
  <c r="H553" i="1"/>
  <c r="K553" i="1"/>
  <c r="L553" i="1"/>
  <c r="M553" i="1"/>
  <c r="N553" i="1"/>
  <c r="C554" i="1"/>
  <c r="D554" i="1"/>
  <c r="H554" i="1"/>
  <c r="K554" i="1"/>
  <c r="L554" i="1"/>
  <c r="M554" i="1"/>
  <c r="N554" i="1"/>
  <c r="C555" i="1"/>
  <c r="D555" i="1"/>
  <c r="H555" i="1"/>
  <c r="K555" i="1"/>
  <c r="L555" i="1"/>
  <c r="M555" i="1"/>
  <c r="N555" i="1"/>
  <c r="C556" i="1"/>
  <c r="D556" i="1"/>
  <c r="H556" i="1"/>
  <c r="K556" i="1"/>
  <c r="L556" i="1"/>
  <c r="M556" i="1"/>
  <c r="N556" i="1"/>
  <c r="C557" i="1"/>
  <c r="D557" i="1"/>
  <c r="H557" i="1"/>
  <c r="K557" i="1"/>
  <c r="L557" i="1"/>
  <c r="M557" i="1"/>
  <c r="N557" i="1"/>
  <c r="C558" i="1"/>
  <c r="D558" i="1"/>
  <c r="H558" i="1"/>
  <c r="K558" i="1"/>
  <c r="L558" i="1"/>
  <c r="M558" i="1"/>
  <c r="N558" i="1"/>
  <c r="C559" i="1"/>
  <c r="D559" i="1"/>
  <c r="H559" i="1"/>
  <c r="K559" i="1"/>
  <c r="L559" i="1"/>
  <c r="M559" i="1"/>
  <c r="N559" i="1"/>
  <c r="C560" i="1"/>
  <c r="D560" i="1"/>
  <c r="H560" i="1"/>
  <c r="K560" i="1"/>
  <c r="L560" i="1"/>
  <c r="M560" i="1"/>
  <c r="N560" i="1"/>
  <c r="C561" i="1"/>
  <c r="D561" i="1"/>
  <c r="H561" i="1"/>
  <c r="K561" i="1"/>
  <c r="L561" i="1"/>
  <c r="M561" i="1"/>
  <c r="N561" i="1"/>
  <c r="C562" i="1"/>
  <c r="D562" i="1"/>
  <c r="H562" i="1"/>
  <c r="K562" i="1"/>
  <c r="L562" i="1"/>
  <c r="M562" i="1"/>
  <c r="N562" i="1"/>
  <c r="C563" i="1"/>
  <c r="D563" i="1"/>
  <c r="H563" i="1"/>
  <c r="K563" i="1"/>
  <c r="L563" i="1"/>
  <c r="M563" i="1"/>
  <c r="N563" i="1"/>
  <c r="C564" i="1"/>
  <c r="D564" i="1"/>
  <c r="K564" i="1"/>
  <c r="C565" i="1"/>
  <c r="D565" i="1"/>
  <c r="K565" i="1"/>
  <c r="C566" i="1"/>
  <c r="D566" i="1"/>
  <c r="H566" i="1"/>
  <c r="K566" i="1"/>
  <c r="L566" i="1"/>
  <c r="M566" i="1"/>
  <c r="N566" i="1"/>
  <c r="C567" i="1"/>
  <c r="D567" i="1"/>
  <c r="H567" i="1"/>
  <c r="K567" i="1"/>
  <c r="L567" i="1"/>
  <c r="M567" i="1"/>
  <c r="N567" i="1"/>
  <c r="C568" i="1"/>
  <c r="D568" i="1"/>
  <c r="H568" i="1"/>
  <c r="K568" i="1"/>
  <c r="L568" i="1"/>
  <c r="M568" i="1"/>
  <c r="N568" i="1"/>
  <c r="C569" i="1"/>
  <c r="D569" i="1"/>
  <c r="H569" i="1"/>
  <c r="K569" i="1"/>
  <c r="L569" i="1"/>
  <c r="M569" i="1"/>
  <c r="N569" i="1"/>
  <c r="C570" i="1"/>
  <c r="D570" i="1"/>
  <c r="H570" i="1"/>
  <c r="K570" i="1"/>
  <c r="L570" i="1"/>
  <c r="M570" i="1"/>
  <c r="N570" i="1"/>
  <c r="C571" i="1"/>
  <c r="D571" i="1"/>
  <c r="H571" i="1"/>
  <c r="K571" i="1"/>
  <c r="L571" i="1"/>
  <c r="M571" i="1"/>
  <c r="N571" i="1"/>
  <c r="C572" i="1"/>
  <c r="D572" i="1"/>
  <c r="H572" i="1"/>
  <c r="K572" i="1"/>
  <c r="L572" i="1"/>
  <c r="M572" i="1"/>
  <c r="N572" i="1"/>
  <c r="C573" i="1"/>
  <c r="D573" i="1"/>
  <c r="H573" i="1"/>
  <c r="K573" i="1"/>
  <c r="L573" i="1"/>
  <c r="M573" i="1"/>
  <c r="N573" i="1"/>
  <c r="C574" i="1"/>
  <c r="D574" i="1"/>
  <c r="H574" i="1"/>
  <c r="K574" i="1"/>
  <c r="L574" i="1"/>
  <c r="M574" i="1"/>
  <c r="N574" i="1"/>
  <c r="C575" i="1"/>
  <c r="D575" i="1"/>
  <c r="H575" i="1"/>
  <c r="K575" i="1"/>
  <c r="L575" i="1"/>
  <c r="M575" i="1"/>
  <c r="N575" i="1"/>
  <c r="C576" i="1"/>
  <c r="D576" i="1"/>
  <c r="H576" i="1"/>
  <c r="K576" i="1"/>
  <c r="L576" i="1"/>
  <c r="M576" i="1"/>
  <c r="N576" i="1"/>
  <c r="C577" i="1"/>
  <c r="D577" i="1"/>
  <c r="H577" i="1"/>
  <c r="K577" i="1"/>
  <c r="L577" i="1"/>
  <c r="M577" i="1"/>
  <c r="N577" i="1"/>
  <c r="C578" i="1"/>
  <c r="D578" i="1"/>
  <c r="H578" i="1"/>
  <c r="K578" i="1"/>
  <c r="L578" i="1"/>
  <c r="M578" i="1"/>
  <c r="N578" i="1"/>
  <c r="C579" i="1"/>
  <c r="D579" i="1"/>
  <c r="H579" i="1"/>
  <c r="K579" i="1"/>
  <c r="L579" i="1"/>
  <c r="M579" i="1"/>
  <c r="N579" i="1"/>
  <c r="C580" i="1"/>
  <c r="D580" i="1"/>
  <c r="H580" i="1"/>
  <c r="K580" i="1"/>
  <c r="L580" i="1"/>
  <c r="M580" i="1"/>
  <c r="N580" i="1"/>
  <c r="C581" i="1"/>
  <c r="D581" i="1"/>
  <c r="H581" i="1"/>
  <c r="K581" i="1"/>
  <c r="L581" i="1"/>
  <c r="M581" i="1"/>
  <c r="N581" i="1"/>
  <c r="C582" i="1"/>
  <c r="D582" i="1"/>
  <c r="H582" i="1"/>
  <c r="K582" i="1"/>
  <c r="L582" i="1"/>
  <c r="M582" i="1"/>
  <c r="N582" i="1"/>
  <c r="C583" i="1"/>
  <c r="D583" i="1"/>
  <c r="H583" i="1"/>
  <c r="K583" i="1"/>
  <c r="L583" i="1"/>
  <c r="M583" i="1"/>
  <c r="N583" i="1"/>
  <c r="C584" i="1"/>
  <c r="D584" i="1"/>
  <c r="H584" i="1"/>
  <c r="K584" i="1"/>
  <c r="L584" i="1"/>
  <c r="M584" i="1"/>
  <c r="N584" i="1"/>
  <c r="C585" i="1"/>
  <c r="D585" i="1"/>
  <c r="H585" i="1"/>
  <c r="K585" i="1"/>
  <c r="L585" i="1"/>
  <c r="M585" i="1"/>
  <c r="N585" i="1"/>
  <c r="C586" i="1"/>
  <c r="D586" i="1"/>
  <c r="H586" i="1"/>
  <c r="K586" i="1"/>
  <c r="L586" i="1"/>
  <c r="M586" i="1"/>
  <c r="N586" i="1"/>
  <c r="C587" i="1"/>
  <c r="D587" i="1"/>
  <c r="H587" i="1"/>
  <c r="K587" i="1"/>
  <c r="L587" i="1"/>
  <c r="M587" i="1"/>
  <c r="N587" i="1"/>
  <c r="C588" i="1"/>
  <c r="D588" i="1"/>
  <c r="H588" i="1"/>
  <c r="K588" i="1"/>
  <c r="L588" i="1"/>
  <c r="M588" i="1"/>
  <c r="N588" i="1"/>
  <c r="C589" i="1"/>
  <c r="D589" i="1"/>
  <c r="H589" i="1"/>
  <c r="K589" i="1"/>
  <c r="L589" i="1"/>
  <c r="M589" i="1"/>
  <c r="N589" i="1"/>
  <c r="C590" i="1"/>
  <c r="D590" i="1"/>
  <c r="H590" i="1"/>
  <c r="K590" i="1"/>
  <c r="L590" i="1"/>
  <c r="M590" i="1"/>
  <c r="N590" i="1"/>
  <c r="C591" i="1"/>
  <c r="D591" i="1"/>
  <c r="H591" i="1"/>
  <c r="K591" i="1"/>
  <c r="L591" i="1"/>
  <c r="M591" i="1"/>
  <c r="N591" i="1"/>
  <c r="C592" i="1"/>
  <c r="D592" i="1"/>
  <c r="H592" i="1"/>
  <c r="K592" i="1"/>
  <c r="L592" i="1"/>
  <c r="M592" i="1"/>
  <c r="N592" i="1"/>
  <c r="C593" i="1"/>
  <c r="D593" i="1"/>
  <c r="H593" i="1"/>
  <c r="K593" i="1"/>
  <c r="L593" i="1"/>
  <c r="M593" i="1"/>
  <c r="N593" i="1"/>
  <c r="C594" i="1"/>
  <c r="D594" i="1"/>
  <c r="H594" i="1"/>
  <c r="K594" i="1"/>
  <c r="L594" i="1"/>
  <c r="M594" i="1"/>
  <c r="N594" i="1"/>
  <c r="C595" i="1"/>
  <c r="D595" i="1"/>
  <c r="H595" i="1"/>
  <c r="K595" i="1"/>
  <c r="L595" i="1"/>
  <c r="M595" i="1"/>
  <c r="N595" i="1"/>
  <c r="C596" i="1"/>
  <c r="D596" i="1"/>
  <c r="H596" i="1"/>
  <c r="K596" i="1"/>
  <c r="L596" i="1"/>
  <c r="M596" i="1"/>
  <c r="N596" i="1"/>
  <c r="C597" i="1"/>
  <c r="D597" i="1"/>
  <c r="H597" i="1"/>
  <c r="K597" i="1"/>
  <c r="L597" i="1"/>
  <c r="M597" i="1"/>
  <c r="N597" i="1"/>
  <c r="C598" i="1"/>
  <c r="D598" i="1"/>
  <c r="H598" i="1"/>
  <c r="K598" i="1"/>
  <c r="L598" i="1"/>
  <c r="M598" i="1"/>
  <c r="N598" i="1"/>
  <c r="C599" i="1"/>
  <c r="D599" i="1"/>
  <c r="H599" i="1"/>
  <c r="K599" i="1"/>
  <c r="L599" i="1"/>
  <c r="M599" i="1"/>
  <c r="N599" i="1"/>
  <c r="C600" i="1"/>
  <c r="D600" i="1"/>
  <c r="H600" i="1"/>
  <c r="K600" i="1"/>
  <c r="L600" i="1"/>
  <c r="M600" i="1"/>
  <c r="N600" i="1"/>
  <c r="C601" i="1"/>
  <c r="D601" i="1"/>
  <c r="H601" i="1"/>
  <c r="K601" i="1"/>
  <c r="L601" i="1"/>
  <c r="M601" i="1"/>
  <c r="N601" i="1"/>
  <c r="C602" i="1"/>
  <c r="D602" i="1"/>
  <c r="H602" i="1"/>
  <c r="K602" i="1"/>
  <c r="L602" i="1"/>
  <c r="M602" i="1"/>
  <c r="N602" i="1"/>
  <c r="C603" i="1"/>
  <c r="D603" i="1"/>
  <c r="K603" i="1"/>
  <c r="L603" i="1"/>
  <c r="M603" i="1"/>
  <c r="N603" i="1"/>
  <c r="C604" i="1"/>
  <c r="D604" i="1"/>
  <c r="K604" i="1"/>
  <c r="C605" i="1"/>
  <c r="D605" i="1"/>
  <c r="H605" i="1"/>
  <c r="K605" i="1"/>
  <c r="L605" i="1"/>
  <c r="M605" i="1"/>
  <c r="N605" i="1"/>
  <c r="C606" i="1"/>
  <c r="D606" i="1"/>
  <c r="H606" i="1"/>
  <c r="K606" i="1"/>
  <c r="L606" i="1"/>
  <c r="M606" i="1"/>
  <c r="N606" i="1"/>
  <c r="C607" i="1"/>
  <c r="D607" i="1"/>
  <c r="H607" i="1"/>
  <c r="K607" i="1"/>
  <c r="L607" i="1"/>
  <c r="M607" i="1"/>
  <c r="N607" i="1"/>
  <c r="C608" i="1"/>
  <c r="D608" i="1"/>
  <c r="H608" i="1"/>
  <c r="K608" i="1"/>
  <c r="L608" i="1"/>
  <c r="M608" i="1"/>
  <c r="N608" i="1"/>
  <c r="C609" i="1"/>
  <c r="D609" i="1"/>
  <c r="H609" i="1"/>
  <c r="K609" i="1"/>
  <c r="L609" i="1"/>
  <c r="M609" i="1"/>
  <c r="N609" i="1"/>
  <c r="C610" i="1"/>
  <c r="D610" i="1"/>
  <c r="H610" i="1"/>
  <c r="K610" i="1"/>
  <c r="L610" i="1"/>
  <c r="M610" i="1"/>
  <c r="N610" i="1"/>
  <c r="C611" i="1"/>
  <c r="D611" i="1"/>
  <c r="H611" i="1"/>
  <c r="K611" i="1"/>
  <c r="L611" i="1"/>
  <c r="M611" i="1"/>
  <c r="N611" i="1"/>
  <c r="C612" i="1"/>
  <c r="D612" i="1"/>
  <c r="H612" i="1"/>
  <c r="K612" i="1"/>
  <c r="L612" i="1"/>
  <c r="M612" i="1"/>
  <c r="N612" i="1"/>
  <c r="C613" i="1"/>
  <c r="D613" i="1"/>
  <c r="H613" i="1"/>
  <c r="K613" i="1"/>
  <c r="L613" i="1"/>
  <c r="M613" i="1"/>
  <c r="N613" i="1"/>
  <c r="C614" i="1"/>
  <c r="D614" i="1"/>
  <c r="H614" i="1"/>
  <c r="K614" i="1"/>
  <c r="L614" i="1"/>
  <c r="M614" i="1"/>
  <c r="N614" i="1"/>
  <c r="C615" i="1"/>
  <c r="D615" i="1"/>
  <c r="H615" i="1"/>
  <c r="K615" i="1"/>
  <c r="L615" i="1"/>
  <c r="M615" i="1"/>
  <c r="N615" i="1"/>
  <c r="C616" i="1"/>
  <c r="D616" i="1"/>
  <c r="H616" i="1"/>
  <c r="K616" i="1"/>
  <c r="L616" i="1"/>
  <c r="M616" i="1"/>
  <c r="N616" i="1"/>
  <c r="C617" i="1"/>
  <c r="D617" i="1"/>
  <c r="H617" i="1"/>
  <c r="K617" i="1"/>
  <c r="L617" i="1"/>
  <c r="M617" i="1"/>
  <c r="N617" i="1"/>
  <c r="C618" i="1"/>
  <c r="D618" i="1"/>
  <c r="H618" i="1"/>
  <c r="K618" i="1"/>
  <c r="L618" i="1"/>
  <c r="M618" i="1"/>
  <c r="N618" i="1"/>
  <c r="C619" i="1"/>
  <c r="D619" i="1"/>
  <c r="H619" i="1"/>
  <c r="K619" i="1"/>
  <c r="L619" i="1"/>
  <c r="M619" i="1"/>
  <c r="N619" i="1"/>
  <c r="C620" i="1"/>
  <c r="D620" i="1"/>
  <c r="H620" i="1"/>
  <c r="K620" i="1"/>
  <c r="L620" i="1"/>
  <c r="M620" i="1"/>
  <c r="N620" i="1"/>
  <c r="C621" i="1"/>
  <c r="D621" i="1"/>
  <c r="H621" i="1"/>
  <c r="K621" i="1"/>
  <c r="L621" i="1"/>
  <c r="M621" i="1"/>
  <c r="N621" i="1"/>
  <c r="C622" i="1"/>
  <c r="D622" i="1"/>
  <c r="H622" i="1"/>
  <c r="K622" i="1"/>
  <c r="L622" i="1"/>
  <c r="M622" i="1"/>
  <c r="N622" i="1"/>
  <c r="C623" i="1"/>
  <c r="D623" i="1"/>
  <c r="H623" i="1"/>
  <c r="K623" i="1"/>
  <c r="L623" i="1"/>
  <c r="M623" i="1"/>
  <c r="N623" i="1"/>
  <c r="C624" i="1"/>
  <c r="D624" i="1"/>
  <c r="H624" i="1"/>
  <c r="K624" i="1"/>
  <c r="L624" i="1"/>
  <c r="M624" i="1"/>
  <c r="N624" i="1"/>
  <c r="C625" i="1"/>
  <c r="D625" i="1"/>
  <c r="H625" i="1"/>
  <c r="K625" i="1"/>
  <c r="L625" i="1"/>
  <c r="M625" i="1"/>
  <c r="N625" i="1"/>
  <c r="C626" i="1"/>
  <c r="D626" i="1"/>
  <c r="H626" i="1"/>
  <c r="K626" i="1"/>
  <c r="L626" i="1"/>
  <c r="M626" i="1"/>
  <c r="N626" i="1"/>
  <c r="C627" i="1"/>
  <c r="D627" i="1"/>
  <c r="H627" i="1"/>
  <c r="K627" i="1"/>
  <c r="L627" i="1"/>
  <c r="M627" i="1"/>
  <c r="N627" i="1"/>
  <c r="C628" i="1"/>
  <c r="D628" i="1"/>
  <c r="H628" i="1"/>
  <c r="K628" i="1"/>
  <c r="L628" i="1"/>
  <c r="M628" i="1"/>
  <c r="N628" i="1"/>
  <c r="C629" i="1"/>
  <c r="D629" i="1"/>
  <c r="H629" i="1"/>
  <c r="K629" i="1"/>
  <c r="L629" i="1"/>
  <c r="M629" i="1"/>
  <c r="N629" i="1"/>
  <c r="C630" i="1"/>
  <c r="D630" i="1"/>
  <c r="H630" i="1"/>
  <c r="K630" i="1"/>
  <c r="L630" i="1"/>
  <c r="M630" i="1"/>
  <c r="N630" i="1"/>
  <c r="C631" i="1"/>
  <c r="D631" i="1"/>
  <c r="H631" i="1"/>
  <c r="K631" i="1"/>
  <c r="L631" i="1"/>
  <c r="M631" i="1"/>
  <c r="N631" i="1"/>
  <c r="C632" i="1"/>
  <c r="D632" i="1"/>
  <c r="H632" i="1"/>
  <c r="K632" i="1"/>
  <c r="L632" i="1"/>
  <c r="M632" i="1"/>
  <c r="N632" i="1"/>
  <c r="C633" i="1"/>
  <c r="D633" i="1"/>
  <c r="H633" i="1"/>
  <c r="K633" i="1"/>
  <c r="L633" i="1"/>
  <c r="M633" i="1"/>
  <c r="N633" i="1"/>
  <c r="C634" i="1"/>
  <c r="D634" i="1"/>
  <c r="H634" i="1"/>
  <c r="K634" i="1"/>
  <c r="L634" i="1"/>
  <c r="M634" i="1"/>
  <c r="N634" i="1"/>
  <c r="C635" i="1"/>
  <c r="D635" i="1"/>
  <c r="H635" i="1"/>
  <c r="K635" i="1"/>
  <c r="L635" i="1"/>
  <c r="M635" i="1"/>
  <c r="N635" i="1"/>
  <c r="C636" i="1"/>
  <c r="D636" i="1"/>
  <c r="H636" i="1"/>
  <c r="K636" i="1"/>
  <c r="L636" i="1"/>
  <c r="M636" i="1"/>
  <c r="N636" i="1"/>
  <c r="C637" i="1"/>
  <c r="D637" i="1"/>
  <c r="H637" i="1"/>
  <c r="K637" i="1"/>
  <c r="L637" i="1"/>
  <c r="M637" i="1"/>
  <c r="N637" i="1"/>
  <c r="C638" i="1"/>
  <c r="D638" i="1"/>
  <c r="H638" i="1"/>
  <c r="K638" i="1"/>
  <c r="L638" i="1"/>
  <c r="M638" i="1"/>
  <c r="N638" i="1"/>
  <c r="C639" i="1"/>
  <c r="D639" i="1"/>
  <c r="K639" i="1"/>
  <c r="C640" i="1"/>
  <c r="D640" i="1"/>
  <c r="H640" i="1"/>
  <c r="K640" i="1"/>
  <c r="L640" i="1"/>
  <c r="M640" i="1"/>
  <c r="N640" i="1"/>
  <c r="C641" i="1"/>
  <c r="D641" i="1"/>
  <c r="H641" i="1"/>
  <c r="K641" i="1"/>
  <c r="L641" i="1"/>
  <c r="M641" i="1"/>
  <c r="N641" i="1"/>
  <c r="C642" i="1"/>
  <c r="D642" i="1"/>
  <c r="H642" i="1"/>
  <c r="K642" i="1"/>
  <c r="L642" i="1"/>
  <c r="M642" i="1"/>
  <c r="N642" i="1"/>
  <c r="C643" i="1"/>
  <c r="D643" i="1"/>
  <c r="H643" i="1"/>
  <c r="K643" i="1"/>
  <c r="L643" i="1"/>
  <c r="M643" i="1"/>
  <c r="N643" i="1"/>
  <c r="C644" i="1"/>
  <c r="D644" i="1"/>
  <c r="H644" i="1"/>
  <c r="K644" i="1"/>
  <c r="L644" i="1"/>
  <c r="M644" i="1"/>
  <c r="N644" i="1"/>
  <c r="C645" i="1"/>
  <c r="D645" i="1"/>
  <c r="H645" i="1"/>
  <c r="K645" i="1"/>
  <c r="L645" i="1"/>
  <c r="M645" i="1"/>
  <c r="N645" i="1"/>
  <c r="C646" i="1"/>
  <c r="D646" i="1"/>
  <c r="H646" i="1"/>
  <c r="K646" i="1"/>
  <c r="L646" i="1"/>
  <c r="M646" i="1"/>
  <c r="N646" i="1"/>
  <c r="C647" i="1"/>
  <c r="D647" i="1"/>
  <c r="H647" i="1"/>
  <c r="K647" i="1"/>
  <c r="L647" i="1"/>
  <c r="M647" i="1"/>
  <c r="N647" i="1"/>
  <c r="C648" i="1"/>
  <c r="D648" i="1"/>
  <c r="H648" i="1"/>
  <c r="K648" i="1"/>
  <c r="L648" i="1"/>
  <c r="M648" i="1"/>
  <c r="N648" i="1"/>
  <c r="C649" i="1"/>
  <c r="D649" i="1"/>
  <c r="H649" i="1"/>
  <c r="K649" i="1"/>
  <c r="L649" i="1"/>
  <c r="M649" i="1"/>
  <c r="N649" i="1"/>
  <c r="C650" i="1"/>
  <c r="D650" i="1"/>
  <c r="H650" i="1"/>
  <c r="K650" i="1"/>
  <c r="L650" i="1"/>
  <c r="M650" i="1"/>
  <c r="N650" i="1"/>
  <c r="C651" i="1"/>
  <c r="D651" i="1"/>
  <c r="H651" i="1"/>
  <c r="K651" i="1"/>
  <c r="L651" i="1"/>
  <c r="M651" i="1"/>
  <c r="N651" i="1"/>
  <c r="C652" i="1"/>
  <c r="D652" i="1"/>
  <c r="H652" i="1"/>
  <c r="K652" i="1"/>
  <c r="L652" i="1"/>
  <c r="M652" i="1"/>
  <c r="N652" i="1"/>
  <c r="C653" i="1"/>
  <c r="D653" i="1"/>
  <c r="H653" i="1"/>
  <c r="K653" i="1"/>
  <c r="L653" i="1"/>
  <c r="M653" i="1"/>
  <c r="N653" i="1"/>
  <c r="C654" i="1"/>
  <c r="D654" i="1"/>
  <c r="H654" i="1"/>
  <c r="K654" i="1"/>
  <c r="L654" i="1"/>
  <c r="M654" i="1"/>
  <c r="N654" i="1"/>
  <c r="C655" i="1"/>
  <c r="D655" i="1"/>
  <c r="H655" i="1"/>
  <c r="K655" i="1"/>
  <c r="L655" i="1"/>
  <c r="M655" i="1"/>
  <c r="N655" i="1"/>
  <c r="C656" i="1"/>
  <c r="D656" i="1"/>
  <c r="H656" i="1"/>
  <c r="K656" i="1"/>
  <c r="L656" i="1"/>
  <c r="M656" i="1"/>
  <c r="N656" i="1"/>
  <c r="C657" i="1"/>
  <c r="D657" i="1"/>
  <c r="H657" i="1"/>
  <c r="K657" i="1"/>
  <c r="L657" i="1"/>
  <c r="M657" i="1"/>
  <c r="N657" i="1"/>
  <c r="C658" i="1"/>
  <c r="D658" i="1"/>
  <c r="H658" i="1"/>
  <c r="K658" i="1"/>
  <c r="L658" i="1"/>
  <c r="M658" i="1"/>
  <c r="N658" i="1"/>
  <c r="C659" i="1"/>
  <c r="D659" i="1"/>
  <c r="H659" i="1"/>
  <c r="K659" i="1"/>
  <c r="L659" i="1"/>
  <c r="M659" i="1"/>
  <c r="N659" i="1"/>
  <c r="C660" i="1"/>
  <c r="D660" i="1"/>
  <c r="H660" i="1"/>
  <c r="K660" i="1"/>
  <c r="L660" i="1"/>
  <c r="M660" i="1"/>
  <c r="N660" i="1"/>
  <c r="C661" i="1"/>
  <c r="D661" i="1"/>
  <c r="H661" i="1"/>
  <c r="K661" i="1"/>
  <c r="L661" i="1"/>
  <c r="M661" i="1"/>
  <c r="N661" i="1"/>
  <c r="C662" i="1"/>
  <c r="D662" i="1"/>
  <c r="K662" i="1"/>
  <c r="C663" i="1"/>
  <c r="D663" i="1"/>
  <c r="H663" i="1"/>
  <c r="K663" i="1"/>
  <c r="L663" i="1"/>
  <c r="M663" i="1"/>
  <c r="N663" i="1"/>
  <c r="C664" i="1"/>
  <c r="D664" i="1"/>
  <c r="H664" i="1"/>
  <c r="K664" i="1"/>
  <c r="L664" i="1"/>
  <c r="M664" i="1"/>
  <c r="N664" i="1"/>
  <c r="C665" i="1"/>
  <c r="D665" i="1"/>
  <c r="H665" i="1"/>
  <c r="K665" i="1"/>
  <c r="L665" i="1"/>
  <c r="M665" i="1"/>
  <c r="N665" i="1"/>
  <c r="C666" i="1"/>
  <c r="D666" i="1"/>
  <c r="H666" i="1"/>
  <c r="K666" i="1"/>
  <c r="L666" i="1"/>
  <c r="M666" i="1"/>
  <c r="N666" i="1"/>
  <c r="C667" i="1"/>
  <c r="D667" i="1"/>
  <c r="K667" i="1"/>
  <c r="C668" i="1"/>
  <c r="D668" i="1"/>
  <c r="H668" i="1"/>
  <c r="K668" i="1"/>
  <c r="L668" i="1"/>
  <c r="M668" i="1"/>
  <c r="N668" i="1"/>
  <c r="C669" i="1"/>
  <c r="D669" i="1"/>
  <c r="K669" i="1"/>
  <c r="C670" i="1"/>
  <c r="D670" i="1"/>
  <c r="H670" i="1"/>
  <c r="K670" i="1"/>
  <c r="L670" i="1"/>
  <c r="M670" i="1"/>
  <c r="N670" i="1"/>
  <c r="C671" i="1"/>
  <c r="D671" i="1"/>
  <c r="H671" i="1"/>
  <c r="K671" i="1"/>
  <c r="L671" i="1"/>
  <c r="M671" i="1"/>
  <c r="N671" i="1"/>
  <c r="C672" i="1"/>
  <c r="D672" i="1"/>
  <c r="H672" i="1"/>
  <c r="K672" i="1"/>
  <c r="L672" i="1"/>
  <c r="M672" i="1"/>
  <c r="N672" i="1"/>
  <c r="C673" i="1"/>
  <c r="D673" i="1"/>
  <c r="H673" i="1"/>
  <c r="K673" i="1"/>
  <c r="L673" i="1"/>
  <c r="M673" i="1"/>
  <c r="N673" i="1"/>
  <c r="C674" i="1"/>
  <c r="D674" i="1"/>
  <c r="H674" i="1"/>
  <c r="K674" i="1"/>
  <c r="L674" i="1"/>
  <c r="M674" i="1"/>
  <c r="N674" i="1"/>
  <c r="C675" i="1"/>
  <c r="D675" i="1"/>
  <c r="H675" i="1"/>
  <c r="K675" i="1"/>
  <c r="L675" i="1"/>
  <c r="M675" i="1"/>
  <c r="N675" i="1"/>
  <c r="C676" i="1"/>
  <c r="D676" i="1"/>
  <c r="H676" i="1"/>
  <c r="K676" i="1"/>
  <c r="L676" i="1"/>
  <c r="M676" i="1"/>
  <c r="N676" i="1"/>
  <c r="C677" i="1"/>
  <c r="D677" i="1"/>
  <c r="H677" i="1"/>
  <c r="K677" i="1"/>
  <c r="L677" i="1"/>
  <c r="M677" i="1"/>
  <c r="N677" i="1"/>
  <c r="C678" i="1"/>
  <c r="D678" i="1"/>
  <c r="H678" i="1"/>
  <c r="K678" i="1"/>
  <c r="L678" i="1"/>
  <c r="M678" i="1"/>
  <c r="N678" i="1"/>
  <c r="C679" i="1"/>
  <c r="D679" i="1"/>
  <c r="H679" i="1"/>
  <c r="K679" i="1"/>
  <c r="L679" i="1"/>
  <c r="M679" i="1"/>
  <c r="N679" i="1"/>
  <c r="C680" i="1"/>
  <c r="D680" i="1"/>
  <c r="H680" i="1"/>
  <c r="K680" i="1"/>
  <c r="L680" i="1"/>
  <c r="M680" i="1"/>
  <c r="N680" i="1"/>
  <c r="C681" i="1"/>
  <c r="D681" i="1"/>
  <c r="H681" i="1"/>
  <c r="K681" i="1"/>
  <c r="L681" i="1"/>
  <c r="M681" i="1"/>
  <c r="N681" i="1"/>
  <c r="C682" i="1"/>
  <c r="D682" i="1"/>
  <c r="H682" i="1"/>
  <c r="K682" i="1"/>
  <c r="L682" i="1"/>
  <c r="M682" i="1"/>
  <c r="N682" i="1"/>
  <c r="C683" i="1"/>
  <c r="D683" i="1"/>
  <c r="H683" i="1"/>
  <c r="K683" i="1"/>
  <c r="L683" i="1"/>
  <c r="M683" i="1"/>
  <c r="N683" i="1"/>
  <c r="C684" i="1"/>
  <c r="D684" i="1"/>
  <c r="H684" i="1"/>
  <c r="K684" i="1"/>
  <c r="L684" i="1"/>
  <c r="M684" i="1"/>
  <c r="N684" i="1"/>
  <c r="C685" i="1"/>
  <c r="D685" i="1"/>
  <c r="H685" i="1"/>
  <c r="K685" i="1"/>
  <c r="L685" i="1"/>
  <c r="M685" i="1"/>
  <c r="N685" i="1"/>
  <c r="C686" i="1"/>
  <c r="D686" i="1"/>
  <c r="H686" i="1"/>
  <c r="K686" i="1"/>
  <c r="L686" i="1"/>
  <c r="M686" i="1"/>
  <c r="N686" i="1"/>
  <c r="C687" i="1"/>
  <c r="D687" i="1"/>
  <c r="H687" i="1"/>
  <c r="K687" i="1"/>
  <c r="L687" i="1"/>
  <c r="M687" i="1"/>
  <c r="N687" i="1"/>
  <c r="C688" i="1"/>
  <c r="D688" i="1"/>
  <c r="H688" i="1"/>
  <c r="K688" i="1"/>
  <c r="L688" i="1"/>
  <c r="M688" i="1"/>
  <c r="N688" i="1"/>
  <c r="C689" i="1"/>
  <c r="D689" i="1"/>
  <c r="H689" i="1"/>
  <c r="K689" i="1"/>
  <c r="L689" i="1"/>
  <c r="M689" i="1"/>
  <c r="N689" i="1"/>
  <c r="C690" i="1"/>
  <c r="D690" i="1"/>
  <c r="H690" i="1"/>
  <c r="K690" i="1"/>
  <c r="L690" i="1"/>
  <c r="M690" i="1"/>
  <c r="N690" i="1"/>
  <c r="C691" i="1"/>
  <c r="D691" i="1"/>
  <c r="H691" i="1"/>
  <c r="K691" i="1"/>
  <c r="L691" i="1"/>
  <c r="M691" i="1"/>
  <c r="N691" i="1"/>
  <c r="C692" i="1"/>
  <c r="D692" i="1"/>
  <c r="H692" i="1"/>
  <c r="K692" i="1"/>
  <c r="L692" i="1"/>
  <c r="M692" i="1"/>
  <c r="N692" i="1"/>
  <c r="C693" i="1"/>
  <c r="D693" i="1"/>
  <c r="H693" i="1"/>
  <c r="K693" i="1"/>
  <c r="L693" i="1"/>
  <c r="M693" i="1"/>
  <c r="N693" i="1"/>
  <c r="C694" i="1"/>
  <c r="D694" i="1"/>
  <c r="H694" i="1"/>
  <c r="K694" i="1"/>
  <c r="L694" i="1"/>
  <c r="M694" i="1"/>
  <c r="N694" i="1"/>
  <c r="C695" i="1"/>
  <c r="D695" i="1"/>
  <c r="H695" i="1"/>
  <c r="K695" i="1"/>
  <c r="L695" i="1"/>
  <c r="M695" i="1"/>
  <c r="N695" i="1"/>
  <c r="C696" i="1"/>
  <c r="D696" i="1"/>
  <c r="H696" i="1"/>
  <c r="K696" i="1"/>
  <c r="L696" i="1"/>
  <c r="M696" i="1"/>
  <c r="N696" i="1"/>
  <c r="C697" i="1"/>
  <c r="D697" i="1"/>
  <c r="H697" i="1"/>
  <c r="K697" i="1"/>
  <c r="L697" i="1"/>
  <c r="M697" i="1"/>
  <c r="N697" i="1"/>
  <c r="C698" i="1"/>
  <c r="D698" i="1"/>
  <c r="H698" i="1"/>
  <c r="K698" i="1"/>
  <c r="L698" i="1"/>
  <c r="M698" i="1"/>
  <c r="N698" i="1"/>
  <c r="C699" i="1"/>
  <c r="D699" i="1"/>
  <c r="H699" i="1"/>
  <c r="K699" i="1"/>
  <c r="L699" i="1"/>
  <c r="M699" i="1"/>
  <c r="N699" i="1"/>
  <c r="C700" i="1"/>
  <c r="D700" i="1"/>
  <c r="H700" i="1"/>
  <c r="K700" i="1"/>
  <c r="L700" i="1"/>
  <c r="M700" i="1"/>
  <c r="N700" i="1"/>
  <c r="C701" i="1"/>
  <c r="D701" i="1"/>
  <c r="H701" i="1"/>
  <c r="K701" i="1"/>
  <c r="L701" i="1"/>
  <c r="M701" i="1"/>
  <c r="N701" i="1"/>
  <c r="C702" i="1"/>
  <c r="D702" i="1"/>
  <c r="H702" i="1"/>
  <c r="K702" i="1"/>
  <c r="L702" i="1"/>
  <c r="M702" i="1"/>
  <c r="N702" i="1"/>
  <c r="C703" i="1"/>
  <c r="D703" i="1"/>
  <c r="H703" i="1"/>
  <c r="K703" i="1"/>
  <c r="L703" i="1"/>
  <c r="M703" i="1"/>
  <c r="N703" i="1"/>
  <c r="C704" i="1"/>
  <c r="D704" i="1"/>
  <c r="H704" i="1"/>
  <c r="K704" i="1"/>
  <c r="L704" i="1"/>
  <c r="M704" i="1"/>
  <c r="N704" i="1"/>
  <c r="C705" i="1"/>
  <c r="D705" i="1"/>
  <c r="H705" i="1"/>
  <c r="K705" i="1"/>
  <c r="L705" i="1"/>
  <c r="M705" i="1"/>
  <c r="N705" i="1"/>
  <c r="C706" i="1"/>
  <c r="D706" i="1"/>
  <c r="H706" i="1"/>
  <c r="K706" i="1"/>
  <c r="L706" i="1"/>
  <c r="M706" i="1"/>
  <c r="N706" i="1"/>
  <c r="C707" i="1"/>
  <c r="D707" i="1"/>
  <c r="H707" i="1"/>
  <c r="K707" i="1"/>
  <c r="L707" i="1"/>
  <c r="M707" i="1"/>
  <c r="N707" i="1"/>
  <c r="C708" i="1"/>
  <c r="D708" i="1"/>
  <c r="H708" i="1"/>
  <c r="K708" i="1"/>
  <c r="L708" i="1"/>
  <c r="M708" i="1"/>
  <c r="N708" i="1"/>
  <c r="C709" i="1"/>
  <c r="D709" i="1"/>
  <c r="H709" i="1"/>
  <c r="K709" i="1"/>
  <c r="L709" i="1"/>
  <c r="M709" i="1"/>
  <c r="N709" i="1"/>
  <c r="C710" i="1"/>
  <c r="D710" i="1"/>
  <c r="H710" i="1"/>
  <c r="K710" i="1"/>
  <c r="L710" i="1"/>
  <c r="M710" i="1"/>
  <c r="N710" i="1"/>
  <c r="C711" i="1"/>
  <c r="D711" i="1"/>
  <c r="H711" i="1"/>
  <c r="K711" i="1"/>
  <c r="L711" i="1"/>
  <c r="M711" i="1"/>
  <c r="N711" i="1"/>
  <c r="C712" i="1"/>
  <c r="D712" i="1"/>
  <c r="H712" i="1"/>
  <c r="K712" i="1"/>
  <c r="L712" i="1"/>
  <c r="M712" i="1"/>
  <c r="N712" i="1"/>
  <c r="C713" i="1"/>
  <c r="D713" i="1"/>
  <c r="H713" i="1"/>
  <c r="K713" i="1"/>
  <c r="L713" i="1"/>
  <c r="M713" i="1"/>
  <c r="N713" i="1"/>
  <c r="C714" i="1"/>
  <c r="D714" i="1"/>
  <c r="H714" i="1"/>
  <c r="K714" i="1"/>
  <c r="L714" i="1"/>
  <c r="M714" i="1"/>
  <c r="N714" i="1"/>
  <c r="C715" i="1"/>
  <c r="D715" i="1"/>
  <c r="H715" i="1"/>
  <c r="K715" i="1"/>
  <c r="L715" i="1"/>
  <c r="M715" i="1"/>
  <c r="N715" i="1"/>
  <c r="C716" i="1"/>
  <c r="D716" i="1"/>
  <c r="H716" i="1"/>
  <c r="K716" i="1"/>
  <c r="L716" i="1"/>
  <c r="M716" i="1"/>
  <c r="N716" i="1"/>
  <c r="C717" i="1"/>
  <c r="D717" i="1"/>
  <c r="H717" i="1"/>
  <c r="K717" i="1"/>
  <c r="L717" i="1"/>
  <c r="M717" i="1"/>
  <c r="N717" i="1"/>
  <c r="C718" i="1"/>
  <c r="D718" i="1"/>
  <c r="H718" i="1"/>
  <c r="K718" i="1"/>
  <c r="L718" i="1"/>
  <c r="M718" i="1"/>
  <c r="N718" i="1"/>
  <c r="C719" i="1"/>
  <c r="D719" i="1"/>
  <c r="H719" i="1"/>
  <c r="K719" i="1"/>
  <c r="L719" i="1"/>
  <c r="M719" i="1"/>
  <c r="N719" i="1"/>
  <c r="C720" i="1"/>
  <c r="D720" i="1"/>
  <c r="H720" i="1"/>
  <c r="K720" i="1"/>
  <c r="L720" i="1"/>
  <c r="M720" i="1"/>
  <c r="N720" i="1"/>
  <c r="C721" i="1"/>
  <c r="D721" i="1"/>
  <c r="H721" i="1"/>
  <c r="K721" i="1"/>
  <c r="L721" i="1"/>
  <c r="M721" i="1"/>
  <c r="N721" i="1"/>
  <c r="C722" i="1"/>
  <c r="D722" i="1"/>
  <c r="H722" i="1"/>
  <c r="K722" i="1"/>
  <c r="L722" i="1"/>
  <c r="M722" i="1"/>
  <c r="N722" i="1"/>
  <c r="C723" i="1"/>
  <c r="D723" i="1"/>
  <c r="H723" i="1"/>
  <c r="K723" i="1"/>
  <c r="L723" i="1"/>
  <c r="M723" i="1"/>
  <c r="N723" i="1"/>
  <c r="C724" i="1"/>
  <c r="D724" i="1"/>
  <c r="H724" i="1"/>
  <c r="K724" i="1"/>
  <c r="L724" i="1"/>
  <c r="M724" i="1"/>
  <c r="N724" i="1"/>
  <c r="C725" i="1"/>
  <c r="D725" i="1"/>
  <c r="H725" i="1"/>
  <c r="K725" i="1"/>
  <c r="L725" i="1"/>
  <c r="M725" i="1"/>
  <c r="N725" i="1"/>
  <c r="C726" i="1"/>
  <c r="D726" i="1"/>
  <c r="H726" i="1"/>
  <c r="K726" i="1"/>
  <c r="L726" i="1"/>
  <c r="M726" i="1"/>
  <c r="N726" i="1"/>
  <c r="C727" i="1"/>
  <c r="D727" i="1"/>
  <c r="H727" i="1"/>
  <c r="K727" i="1"/>
  <c r="L727" i="1"/>
  <c r="M727" i="1"/>
  <c r="N727" i="1"/>
  <c r="C728" i="1"/>
  <c r="D728" i="1"/>
  <c r="H728" i="1"/>
  <c r="K728" i="1"/>
  <c r="L728" i="1"/>
  <c r="M728" i="1"/>
  <c r="N728" i="1"/>
  <c r="C729" i="1"/>
  <c r="D729" i="1"/>
  <c r="H729" i="1"/>
  <c r="K729" i="1"/>
  <c r="L729" i="1"/>
  <c r="M729" i="1"/>
  <c r="N729" i="1"/>
  <c r="C730" i="1"/>
  <c r="D730" i="1"/>
  <c r="H730" i="1"/>
  <c r="K730" i="1"/>
  <c r="L730" i="1"/>
  <c r="M730" i="1"/>
  <c r="N730" i="1"/>
  <c r="C731" i="1"/>
  <c r="D731" i="1"/>
  <c r="H731" i="1"/>
  <c r="K731" i="1"/>
  <c r="L731" i="1"/>
  <c r="M731" i="1"/>
  <c r="N731" i="1"/>
  <c r="C732" i="1"/>
  <c r="D732" i="1"/>
  <c r="H732" i="1"/>
  <c r="K732" i="1"/>
  <c r="L732" i="1"/>
  <c r="M732" i="1"/>
  <c r="N732" i="1"/>
  <c r="C733" i="1"/>
  <c r="D733" i="1"/>
  <c r="H733" i="1"/>
  <c r="K733" i="1"/>
  <c r="L733" i="1"/>
  <c r="M733" i="1"/>
  <c r="N733" i="1"/>
  <c r="C734" i="1"/>
  <c r="D734" i="1"/>
  <c r="H734" i="1"/>
  <c r="K734" i="1"/>
  <c r="L734" i="1"/>
  <c r="M734" i="1"/>
  <c r="N734" i="1"/>
  <c r="C735" i="1"/>
  <c r="D735" i="1"/>
  <c r="H735" i="1"/>
  <c r="K735" i="1"/>
  <c r="L735" i="1"/>
  <c r="M735" i="1"/>
  <c r="N735" i="1"/>
  <c r="C736" i="1"/>
  <c r="D736" i="1"/>
  <c r="H736" i="1"/>
  <c r="K736" i="1"/>
  <c r="L736" i="1"/>
  <c r="M736" i="1"/>
  <c r="N736" i="1"/>
  <c r="C737" i="1"/>
  <c r="D737" i="1"/>
  <c r="H737" i="1"/>
  <c r="K737" i="1"/>
  <c r="L737" i="1"/>
  <c r="M737" i="1"/>
  <c r="N737" i="1"/>
  <c r="C738" i="1"/>
  <c r="D738" i="1"/>
  <c r="H738" i="1"/>
  <c r="K738" i="1"/>
  <c r="L738" i="1"/>
  <c r="M738" i="1"/>
  <c r="N738" i="1"/>
  <c r="C739" i="1"/>
  <c r="D739" i="1"/>
  <c r="H739" i="1"/>
  <c r="K739" i="1"/>
  <c r="L739" i="1"/>
  <c r="M739" i="1"/>
  <c r="N739" i="1"/>
  <c r="C740" i="1"/>
  <c r="D740" i="1"/>
  <c r="H740" i="1"/>
  <c r="K740" i="1"/>
  <c r="L740" i="1"/>
  <c r="M740" i="1"/>
  <c r="N740" i="1"/>
  <c r="C741" i="1"/>
  <c r="D741" i="1"/>
  <c r="H741" i="1"/>
  <c r="K741" i="1"/>
  <c r="L741" i="1"/>
  <c r="M741" i="1"/>
  <c r="N741" i="1"/>
  <c r="C742" i="1"/>
  <c r="D742" i="1"/>
  <c r="H742" i="1"/>
  <c r="K742" i="1"/>
  <c r="L742" i="1"/>
  <c r="M742" i="1"/>
  <c r="N742" i="1"/>
  <c r="C743" i="1"/>
  <c r="D743" i="1"/>
  <c r="H743" i="1"/>
  <c r="K743" i="1"/>
  <c r="L743" i="1"/>
  <c r="M743" i="1"/>
  <c r="N743" i="1"/>
  <c r="C744" i="1"/>
  <c r="D744" i="1"/>
  <c r="H744" i="1"/>
  <c r="K744" i="1"/>
  <c r="L744" i="1"/>
  <c r="M744" i="1"/>
  <c r="N744" i="1"/>
  <c r="C745" i="1"/>
  <c r="D745" i="1"/>
  <c r="K745" i="1"/>
  <c r="L745" i="1"/>
  <c r="M745" i="1"/>
  <c r="N745" i="1"/>
  <c r="C746" i="1"/>
  <c r="D746" i="1"/>
  <c r="H746" i="1"/>
  <c r="K746" i="1"/>
  <c r="L746" i="1"/>
  <c r="M746" i="1"/>
  <c r="N746" i="1"/>
  <c r="C747" i="1"/>
  <c r="D747" i="1"/>
  <c r="H747" i="1"/>
  <c r="K747" i="1"/>
  <c r="L747" i="1"/>
  <c r="M747" i="1"/>
  <c r="N747" i="1"/>
  <c r="C748" i="1"/>
  <c r="D748" i="1"/>
  <c r="H748" i="1"/>
  <c r="K748" i="1"/>
  <c r="L748" i="1"/>
  <c r="M748" i="1"/>
  <c r="N748" i="1"/>
  <c r="C749" i="1"/>
  <c r="D749" i="1"/>
  <c r="H749" i="1"/>
  <c r="K749" i="1"/>
  <c r="L749" i="1"/>
  <c r="M749" i="1"/>
  <c r="N749" i="1"/>
  <c r="C750" i="1"/>
  <c r="D750" i="1"/>
  <c r="H750" i="1"/>
  <c r="K750" i="1"/>
  <c r="L750" i="1"/>
  <c r="M750" i="1"/>
  <c r="N750" i="1"/>
  <c r="C751" i="1"/>
  <c r="D751" i="1"/>
  <c r="H751" i="1"/>
  <c r="K751" i="1"/>
  <c r="L751" i="1"/>
  <c r="M751" i="1"/>
  <c r="N751" i="1"/>
  <c r="C752" i="1"/>
  <c r="D752" i="1"/>
  <c r="H752" i="1"/>
  <c r="K752" i="1"/>
  <c r="L752" i="1"/>
  <c r="M752" i="1"/>
  <c r="N752" i="1"/>
  <c r="C753" i="1"/>
  <c r="D753" i="1"/>
  <c r="H753" i="1"/>
  <c r="K753" i="1"/>
  <c r="L753" i="1"/>
  <c r="M753" i="1"/>
  <c r="N753" i="1"/>
  <c r="C754" i="1"/>
  <c r="D754" i="1"/>
  <c r="H754" i="1"/>
  <c r="K754" i="1"/>
  <c r="L754" i="1"/>
  <c r="M754" i="1"/>
  <c r="N754" i="1"/>
  <c r="C755" i="1"/>
  <c r="D755" i="1"/>
  <c r="H755" i="1"/>
  <c r="K755" i="1"/>
  <c r="L755" i="1"/>
  <c r="M755" i="1"/>
  <c r="N755" i="1"/>
  <c r="C756" i="1"/>
  <c r="D756" i="1"/>
  <c r="H756" i="1"/>
  <c r="K756" i="1"/>
  <c r="L756" i="1"/>
  <c r="M756" i="1"/>
  <c r="N756" i="1"/>
  <c r="C757" i="1"/>
  <c r="D757" i="1"/>
  <c r="H757" i="1"/>
  <c r="K757" i="1"/>
  <c r="L757" i="1"/>
  <c r="M757" i="1"/>
  <c r="N757" i="1"/>
  <c r="C758" i="1"/>
  <c r="D758" i="1"/>
  <c r="H758" i="1"/>
  <c r="K758" i="1"/>
  <c r="L758" i="1"/>
  <c r="M758" i="1"/>
  <c r="N758" i="1"/>
  <c r="C759" i="1"/>
  <c r="D759" i="1"/>
  <c r="H759" i="1"/>
  <c r="K759" i="1"/>
  <c r="L759" i="1"/>
  <c r="M759" i="1"/>
  <c r="N759" i="1"/>
  <c r="C760" i="1"/>
  <c r="D760" i="1"/>
  <c r="K760" i="1"/>
  <c r="C761" i="1"/>
  <c r="D761" i="1"/>
  <c r="H761" i="1"/>
  <c r="K761" i="1"/>
  <c r="L761" i="1"/>
  <c r="M761" i="1"/>
  <c r="N761" i="1"/>
  <c r="C762" i="1"/>
  <c r="D762" i="1"/>
  <c r="H762" i="1"/>
  <c r="K762" i="1"/>
  <c r="L762" i="1"/>
  <c r="M762" i="1"/>
  <c r="N762" i="1"/>
  <c r="C763" i="1"/>
  <c r="D763" i="1"/>
  <c r="H763" i="1"/>
  <c r="K763" i="1"/>
  <c r="L763" i="1"/>
  <c r="M763" i="1"/>
  <c r="N763" i="1"/>
  <c r="C764" i="1"/>
  <c r="D764" i="1"/>
  <c r="H764" i="1"/>
  <c r="K764" i="1"/>
  <c r="L764" i="1"/>
  <c r="M764" i="1"/>
  <c r="N764" i="1"/>
  <c r="C765" i="1"/>
  <c r="D765" i="1"/>
  <c r="H765" i="1"/>
  <c r="K765" i="1"/>
  <c r="L765" i="1"/>
  <c r="M765" i="1"/>
  <c r="N765" i="1"/>
  <c r="C766" i="1"/>
  <c r="D766" i="1"/>
  <c r="H766" i="1"/>
  <c r="K766" i="1"/>
  <c r="L766" i="1"/>
  <c r="M766" i="1"/>
  <c r="N766" i="1"/>
  <c r="C767" i="1"/>
  <c r="D767" i="1"/>
  <c r="H767" i="1"/>
  <c r="K767" i="1"/>
  <c r="L767" i="1"/>
  <c r="M767" i="1"/>
  <c r="N767" i="1"/>
  <c r="C768" i="1"/>
  <c r="D768" i="1"/>
  <c r="H768" i="1"/>
  <c r="K768" i="1"/>
  <c r="L768" i="1"/>
  <c r="M768" i="1"/>
  <c r="N768" i="1"/>
  <c r="C769" i="1"/>
  <c r="D769" i="1"/>
  <c r="H769" i="1"/>
  <c r="K769" i="1"/>
  <c r="L769" i="1"/>
  <c r="M769" i="1"/>
  <c r="N769" i="1"/>
  <c r="C770" i="1"/>
  <c r="D770" i="1"/>
  <c r="H770" i="1"/>
  <c r="K770" i="1"/>
  <c r="L770" i="1"/>
  <c r="M770" i="1"/>
  <c r="N770" i="1"/>
  <c r="C771" i="1"/>
  <c r="D771" i="1"/>
  <c r="H771" i="1"/>
  <c r="K771" i="1"/>
  <c r="L771" i="1"/>
  <c r="M771" i="1"/>
  <c r="N771" i="1"/>
  <c r="C772" i="1"/>
  <c r="D772" i="1"/>
  <c r="H772" i="1"/>
  <c r="K772" i="1"/>
  <c r="L772" i="1"/>
  <c r="M772" i="1"/>
  <c r="N772" i="1"/>
  <c r="C773" i="1"/>
  <c r="D773" i="1"/>
  <c r="H773" i="1"/>
  <c r="K773" i="1"/>
  <c r="L773" i="1"/>
  <c r="M773" i="1"/>
  <c r="N773" i="1"/>
  <c r="C774" i="1"/>
  <c r="D774" i="1"/>
  <c r="H774" i="1"/>
  <c r="K774" i="1"/>
  <c r="L774" i="1"/>
  <c r="M774" i="1"/>
  <c r="N774" i="1"/>
  <c r="C775" i="1"/>
  <c r="D775" i="1"/>
  <c r="H775" i="1"/>
  <c r="K775" i="1"/>
  <c r="L775" i="1"/>
  <c r="M775" i="1"/>
  <c r="N775" i="1"/>
  <c r="C776" i="1"/>
  <c r="D776" i="1"/>
  <c r="H776" i="1"/>
  <c r="K776" i="1"/>
  <c r="L776" i="1"/>
  <c r="M776" i="1"/>
  <c r="N776" i="1"/>
  <c r="C777" i="1"/>
  <c r="D777" i="1"/>
  <c r="H777" i="1"/>
  <c r="K777" i="1"/>
  <c r="L777" i="1"/>
  <c r="M777" i="1"/>
  <c r="N777" i="1"/>
  <c r="C778" i="1"/>
  <c r="D778" i="1"/>
  <c r="H778" i="1"/>
  <c r="K778" i="1"/>
  <c r="L778" i="1"/>
  <c r="M778" i="1"/>
  <c r="N778" i="1"/>
  <c r="C779" i="1"/>
  <c r="D779" i="1"/>
  <c r="H779" i="1"/>
  <c r="K779" i="1"/>
  <c r="L779" i="1"/>
  <c r="M779" i="1"/>
  <c r="N779" i="1"/>
  <c r="C780" i="1"/>
  <c r="D780" i="1"/>
  <c r="H780" i="1"/>
  <c r="K780" i="1"/>
  <c r="L780" i="1"/>
  <c r="M780" i="1"/>
  <c r="N780" i="1"/>
  <c r="C781" i="1"/>
  <c r="D781" i="1"/>
  <c r="H781" i="1"/>
  <c r="K781" i="1"/>
  <c r="L781" i="1"/>
  <c r="M781" i="1"/>
  <c r="N781" i="1"/>
  <c r="C782" i="1"/>
  <c r="D782" i="1"/>
  <c r="H782" i="1"/>
  <c r="K782" i="1"/>
  <c r="L782" i="1"/>
  <c r="M782" i="1"/>
  <c r="N782" i="1"/>
  <c r="C783" i="1"/>
  <c r="D783" i="1"/>
  <c r="H783" i="1"/>
  <c r="K783" i="1"/>
  <c r="L783" i="1"/>
  <c r="M783" i="1"/>
  <c r="N783" i="1"/>
  <c r="C784" i="1"/>
  <c r="D784" i="1"/>
  <c r="H784" i="1"/>
  <c r="K784" i="1"/>
  <c r="L784" i="1"/>
  <c r="M784" i="1"/>
  <c r="N784" i="1"/>
  <c r="C785" i="1"/>
  <c r="D785" i="1"/>
  <c r="H785" i="1"/>
  <c r="K785" i="1"/>
  <c r="L785" i="1"/>
  <c r="M785" i="1"/>
  <c r="N785" i="1"/>
  <c r="C786" i="1"/>
  <c r="D786" i="1"/>
  <c r="H786" i="1"/>
  <c r="K786" i="1"/>
  <c r="L786" i="1"/>
  <c r="M786" i="1"/>
  <c r="N786" i="1"/>
  <c r="C787" i="1"/>
  <c r="D787" i="1"/>
  <c r="H787" i="1"/>
  <c r="K787" i="1"/>
  <c r="L787" i="1"/>
  <c r="M787" i="1"/>
  <c r="N787" i="1"/>
  <c r="C788" i="1"/>
  <c r="D788" i="1"/>
  <c r="H788" i="1"/>
  <c r="K788" i="1"/>
  <c r="L788" i="1"/>
  <c r="M788" i="1"/>
  <c r="N788" i="1"/>
  <c r="C789" i="1"/>
  <c r="D789" i="1"/>
  <c r="H789" i="1"/>
  <c r="K789" i="1"/>
  <c r="L789" i="1"/>
  <c r="M789" i="1"/>
  <c r="N789" i="1"/>
  <c r="C790" i="1"/>
  <c r="D790" i="1"/>
  <c r="H790" i="1"/>
  <c r="K790" i="1"/>
  <c r="L790" i="1"/>
  <c r="M790" i="1"/>
  <c r="N790" i="1"/>
  <c r="C791" i="1"/>
  <c r="D791" i="1"/>
  <c r="H791" i="1"/>
  <c r="K791" i="1"/>
  <c r="L791" i="1"/>
  <c r="M791" i="1"/>
  <c r="N791" i="1"/>
  <c r="C792" i="1"/>
  <c r="D792" i="1"/>
  <c r="H792" i="1"/>
  <c r="K792" i="1"/>
  <c r="L792" i="1"/>
  <c r="M792" i="1"/>
  <c r="N792" i="1"/>
  <c r="C793" i="1"/>
  <c r="D793" i="1"/>
  <c r="H793" i="1"/>
  <c r="K793" i="1"/>
  <c r="L793" i="1"/>
  <c r="M793" i="1"/>
  <c r="N793" i="1"/>
  <c r="C794" i="1"/>
  <c r="D794" i="1"/>
  <c r="H794" i="1"/>
  <c r="K794" i="1"/>
  <c r="L794" i="1"/>
  <c r="M794" i="1"/>
  <c r="N794" i="1"/>
  <c r="C795" i="1"/>
  <c r="D795" i="1"/>
  <c r="H795" i="1"/>
  <c r="K795" i="1"/>
  <c r="L795" i="1"/>
  <c r="M795" i="1"/>
  <c r="N795" i="1"/>
  <c r="C796" i="1"/>
  <c r="D796" i="1"/>
  <c r="H796" i="1"/>
  <c r="K796" i="1"/>
  <c r="L796" i="1"/>
  <c r="M796" i="1"/>
  <c r="N796" i="1"/>
  <c r="C797" i="1"/>
  <c r="D797" i="1"/>
  <c r="H797" i="1"/>
  <c r="K797" i="1"/>
  <c r="L797" i="1"/>
  <c r="M797" i="1"/>
  <c r="N797" i="1"/>
  <c r="C798" i="1"/>
  <c r="D798" i="1"/>
  <c r="H798" i="1"/>
  <c r="K798" i="1"/>
  <c r="L798" i="1"/>
  <c r="M798" i="1"/>
  <c r="N798" i="1"/>
  <c r="C799" i="1"/>
  <c r="D799" i="1"/>
  <c r="H799" i="1"/>
  <c r="K799" i="1"/>
  <c r="L799" i="1"/>
  <c r="M799" i="1"/>
  <c r="N799" i="1"/>
  <c r="C800" i="1"/>
  <c r="D800" i="1"/>
  <c r="H800" i="1"/>
  <c r="K800" i="1"/>
  <c r="L800" i="1"/>
  <c r="M800" i="1"/>
  <c r="N800" i="1"/>
  <c r="C801" i="1"/>
  <c r="D801" i="1"/>
  <c r="H801" i="1"/>
  <c r="K801" i="1"/>
  <c r="L801" i="1"/>
  <c r="M801" i="1"/>
  <c r="N801" i="1"/>
  <c r="C802" i="1"/>
  <c r="D802" i="1"/>
  <c r="H802" i="1"/>
  <c r="K802" i="1"/>
  <c r="L802" i="1"/>
  <c r="M802" i="1"/>
  <c r="N802" i="1"/>
  <c r="C803" i="1"/>
  <c r="D803" i="1"/>
  <c r="H803" i="1"/>
  <c r="K803" i="1"/>
  <c r="L803" i="1"/>
  <c r="M803" i="1"/>
  <c r="N803" i="1"/>
  <c r="C804" i="1"/>
  <c r="D804" i="1"/>
  <c r="H804" i="1"/>
  <c r="K804" i="1"/>
  <c r="L804" i="1"/>
  <c r="M804" i="1"/>
  <c r="N804" i="1"/>
  <c r="C805" i="1"/>
  <c r="D805" i="1"/>
  <c r="H805" i="1"/>
  <c r="K805" i="1"/>
  <c r="L805" i="1"/>
  <c r="M805" i="1"/>
  <c r="N805" i="1"/>
  <c r="C806" i="1"/>
  <c r="D806" i="1"/>
  <c r="H806" i="1"/>
  <c r="K806" i="1"/>
  <c r="L806" i="1"/>
  <c r="M806" i="1"/>
  <c r="N806" i="1"/>
  <c r="C807" i="1"/>
  <c r="D807" i="1"/>
  <c r="H807" i="1"/>
  <c r="K807" i="1"/>
  <c r="L807" i="1"/>
  <c r="M807" i="1"/>
  <c r="N807" i="1"/>
  <c r="C808" i="1"/>
  <c r="D808" i="1"/>
  <c r="H808" i="1"/>
  <c r="K808" i="1"/>
  <c r="L808" i="1"/>
  <c r="M808" i="1"/>
  <c r="N808" i="1"/>
  <c r="C809" i="1"/>
  <c r="D809" i="1"/>
  <c r="H809" i="1"/>
  <c r="K809" i="1"/>
  <c r="L809" i="1"/>
  <c r="M809" i="1"/>
  <c r="N809" i="1"/>
  <c r="C810" i="1"/>
  <c r="D810" i="1"/>
  <c r="H810" i="1"/>
  <c r="K810" i="1"/>
  <c r="L810" i="1"/>
  <c r="M810" i="1"/>
  <c r="N810" i="1"/>
  <c r="C811" i="1"/>
  <c r="D811" i="1"/>
  <c r="H811" i="1"/>
  <c r="K811" i="1"/>
  <c r="L811" i="1"/>
  <c r="M811" i="1"/>
  <c r="N811" i="1"/>
  <c r="C812" i="1"/>
  <c r="D812" i="1"/>
  <c r="H812" i="1"/>
  <c r="K812" i="1"/>
  <c r="L812" i="1"/>
  <c r="M812" i="1"/>
  <c r="N812" i="1"/>
  <c r="C813" i="1"/>
  <c r="D813" i="1"/>
  <c r="H813" i="1"/>
  <c r="K813" i="1"/>
  <c r="L813" i="1"/>
  <c r="M813" i="1"/>
  <c r="N813" i="1"/>
  <c r="C814" i="1"/>
  <c r="D814" i="1"/>
  <c r="H814" i="1"/>
  <c r="K814" i="1"/>
  <c r="L814" i="1"/>
  <c r="M814" i="1"/>
  <c r="N814" i="1"/>
  <c r="C815" i="1"/>
  <c r="D815" i="1"/>
  <c r="H815" i="1"/>
  <c r="K815" i="1"/>
  <c r="L815" i="1"/>
  <c r="M815" i="1"/>
  <c r="N815" i="1"/>
  <c r="C816" i="1"/>
  <c r="D816" i="1"/>
  <c r="H816" i="1"/>
  <c r="K816" i="1"/>
  <c r="L816" i="1"/>
  <c r="M816" i="1"/>
  <c r="N816" i="1"/>
  <c r="C817" i="1"/>
  <c r="D817" i="1"/>
  <c r="H817" i="1"/>
  <c r="K817" i="1"/>
  <c r="L817" i="1"/>
  <c r="M817" i="1"/>
  <c r="N817" i="1"/>
  <c r="C818" i="1"/>
  <c r="D818" i="1"/>
  <c r="H818" i="1"/>
  <c r="K818" i="1"/>
  <c r="L818" i="1"/>
  <c r="M818" i="1"/>
  <c r="N818" i="1"/>
  <c r="C819" i="1"/>
  <c r="D819" i="1"/>
  <c r="H819" i="1"/>
  <c r="K819" i="1"/>
  <c r="L819" i="1"/>
  <c r="M819" i="1"/>
  <c r="N819" i="1"/>
  <c r="C820" i="1"/>
  <c r="D820" i="1"/>
  <c r="H820" i="1"/>
  <c r="K820" i="1"/>
  <c r="L820" i="1"/>
  <c r="M820" i="1"/>
  <c r="N820" i="1"/>
  <c r="C821" i="1"/>
  <c r="D821" i="1"/>
  <c r="H821" i="1"/>
  <c r="K821" i="1"/>
  <c r="L821" i="1"/>
  <c r="M821" i="1"/>
  <c r="N821" i="1"/>
  <c r="C822" i="1"/>
  <c r="D822" i="1"/>
  <c r="H822" i="1"/>
  <c r="K822" i="1"/>
  <c r="L822" i="1"/>
  <c r="M822" i="1"/>
  <c r="N822" i="1"/>
  <c r="C823" i="1"/>
  <c r="D823" i="1"/>
  <c r="H823" i="1"/>
  <c r="K823" i="1"/>
  <c r="L823" i="1"/>
  <c r="M823" i="1"/>
  <c r="N823" i="1"/>
  <c r="C824" i="1"/>
  <c r="D824" i="1"/>
  <c r="H824" i="1"/>
  <c r="K824" i="1"/>
  <c r="L824" i="1"/>
  <c r="M824" i="1"/>
  <c r="N824" i="1"/>
  <c r="C825" i="1"/>
  <c r="D825" i="1"/>
  <c r="H825" i="1"/>
  <c r="K825" i="1"/>
  <c r="L825" i="1"/>
  <c r="M825" i="1"/>
  <c r="N825" i="1"/>
  <c r="C826" i="1"/>
  <c r="D826" i="1"/>
  <c r="H826" i="1"/>
  <c r="K826" i="1"/>
  <c r="L826" i="1"/>
  <c r="M826" i="1"/>
  <c r="N826" i="1"/>
  <c r="C827" i="1"/>
  <c r="D827" i="1"/>
  <c r="H827" i="1"/>
  <c r="K827" i="1"/>
  <c r="L827" i="1"/>
  <c r="M827" i="1"/>
  <c r="N827" i="1"/>
  <c r="C828" i="1"/>
  <c r="D828" i="1"/>
  <c r="H828" i="1"/>
  <c r="K828" i="1"/>
  <c r="L828" i="1"/>
  <c r="M828" i="1"/>
  <c r="N828" i="1"/>
  <c r="C829" i="1"/>
  <c r="D829" i="1"/>
  <c r="H829" i="1"/>
  <c r="K829" i="1"/>
  <c r="L829" i="1"/>
  <c r="M829" i="1"/>
  <c r="N829" i="1"/>
  <c r="C830" i="1"/>
  <c r="D830" i="1"/>
  <c r="H830" i="1"/>
  <c r="K830" i="1"/>
  <c r="L830" i="1"/>
  <c r="M830" i="1"/>
  <c r="N830" i="1"/>
  <c r="C831" i="1"/>
  <c r="D831" i="1"/>
  <c r="H831" i="1"/>
  <c r="K831" i="1"/>
  <c r="L831" i="1"/>
  <c r="M831" i="1"/>
  <c r="N831" i="1"/>
  <c r="C832" i="1"/>
  <c r="D832" i="1"/>
  <c r="H832" i="1"/>
  <c r="K832" i="1"/>
  <c r="L832" i="1"/>
  <c r="M832" i="1"/>
  <c r="N832" i="1"/>
  <c r="C833" i="1"/>
  <c r="D833" i="1"/>
  <c r="H833" i="1"/>
  <c r="K833" i="1"/>
  <c r="L833" i="1"/>
  <c r="M833" i="1"/>
  <c r="N833" i="1"/>
  <c r="C834" i="1"/>
  <c r="D834" i="1"/>
  <c r="K834" i="1"/>
  <c r="L834" i="1"/>
  <c r="M834" i="1"/>
  <c r="N834" i="1"/>
  <c r="C835" i="1"/>
  <c r="D835" i="1"/>
  <c r="H835" i="1"/>
  <c r="K835" i="1"/>
  <c r="L835" i="1"/>
  <c r="M835" i="1"/>
  <c r="N835" i="1"/>
  <c r="C836" i="1"/>
  <c r="D836" i="1"/>
  <c r="H836" i="1"/>
  <c r="K836" i="1"/>
  <c r="L836" i="1"/>
  <c r="M836" i="1"/>
  <c r="N836" i="1"/>
  <c r="C837" i="1"/>
  <c r="D837" i="1"/>
  <c r="H837" i="1"/>
  <c r="K837" i="1"/>
  <c r="L837" i="1"/>
  <c r="M837" i="1"/>
  <c r="N837" i="1"/>
  <c r="C838" i="1"/>
  <c r="D838" i="1"/>
  <c r="H838" i="1"/>
  <c r="K838" i="1"/>
  <c r="L838" i="1"/>
  <c r="M838" i="1"/>
  <c r="N838" i="1"/>
  <c r="C839" i="1"/>
  <c r="D839" i="1"/>
  <c r="H839" i="1"/>
  <c r="K839" i="1"/>
  <c r="L839" i="1"/>
  <c r="M839" i="1"/>
  <c r="N839" i="1"/>
  <c r="C840" i="1"/>
  <c r="D840" i="1"/>
  <c r="H840" i="1"/>
  <c r="K840" i="1"/>
  <c r="L840" i="1"/>
  <c r="M840" i="1"/>
  <c r="N840" i="1"/>
  <c r="C841" i="1"/>
  <c r="D841" i="1"/>
  <c r="H841" i="1"/>
  <c r="K841" i="1"/>
  <c r="L841" i="1"/>
  <c r="M841" i="1"/>
  <c r="N841" i="1"/>
  <c r="C842" i="1"/>
  <c r="D842" i="1"/>
  <c r="H842" i="1"/>
  <c r="K842" i="1"/>
  <c r="L842" i="1"/>
  <c r="M842" i="1"/>
  <c r="N842" i="1"/>
  <c r="C843" i="1"/>
  <c r="D843" i="1"/>
  <c r="H843" i="1"/>
  <c r="K843" i="1"/>
  <c r="L843" i="1"/>
  <c r="M843" i="1"/>
  <c r="N843" i="1"/>
  <c r="C844" i="1"/>
  <c r="D844" i="1"/>
  <c r="H844" i="1"/>
  <c r="K844" i="1"/>
  <c r="L844" i="1"/>
  <c r="M844" i="1"/>
  <c r="N844" i="1"/>
  <c r="C845" i="1"/>
  <c r="D845" i="1"/>
  <c r="H845" i="1"/>
  <c r="K845" i="1"/>
  <c r="L845" i="1"/>
  <c r="M845" i="1"/>
  <c r="N845" i="1"/>
  <c r="C846" i="1"/>
  <c r="D846" i="1"/>
  <c r="H846" i="1"/>
  <c r="K846" i="1"/>
  <c r="L846" i="1"/>
  <c r="M846" i="1"/>
  <c r="N846" i="1"/>
  <c r="C847" i="1"/>
  <c r="D847" i="1"/>
  <c r="H847" i="1"/>
  <c r="K847" i="1"/>
  <c r="L847" i="1"/>
  <c r="M847" i="1"/>
  <c r="N847" i="1"/>
  <c r="C848" i="1"/>
  <c r="D848" i="1"/>
  <c r="H848" i="1"/>
  <c r="K848" i="1"/>
  <c r="L848" i="1"/>
  <c r="M848" i="1"/>
  <c r="N848" i="1"/>
  <c r="C849" i="1"/>
  <c r="D849" i="1"/>
  <c r="H849" i="1"/>
  <c r="K849" i="1"/>
  <c r="L849" i="1"/>
  <c r="M849" i="1"/>
  <c r="N849" i="1"/>
  <c r="C850" i="1"/>
  <c r="D850" i="1"/>
  <c r="H850" i="1"/>
  <c r="K850" i="1"/>
  <c r="L850" i="1"/>
  <c r="M850" i="1"/>
  <c r="N850" i="1"/>
  <c r="C851" i="1"/>
  <c r="D851" i="1"/>
  <c r="H851" i="1"/>
  <c r="K851" i="1"/>
  <c r="L851" i="1"/>
  <c r="M851" i="1"/>
  <c r="N851" i="1"/>
  <c r="C852" i="1"/>
  <c r="D852" i="1"/>
  <c r="H852" i="1"/>
  <c r="K852" i="1"/>
  <c r="L852" i="1"/>
  <c r="M852" i="1"/>
  <c r="N852" i="1"/>
  <c r="C853" i="1"/>
  <c r="D853" i="1"/>
  <c r="H853" i="1"/>
  <c r="K853" i="1"/>
  <c r="L853" i="1"/>
  <c r="M853" i="1"/>
  <c r="N853" i="1"/>
  <c r="C854" i="1"/>
  <c r="D854" i="1"/>
  <c r="H854" i="1"/>
  <c r="K854" i="1"/>
  <c r="L854" i="1"/>
  <c r="M854" i="1"/>
  <c r="N854" i="1"/>
  <c r="C855" i="1"/>
  <c r="D855" i="1"/>
  <c r="H855" i="1"/>
  <c r="K855" i="1"/>
  <c r="L855" i="1"/>
  <c r="M855" i="1"/>
  <c r="N855" i="1"/>
  <c r="C856" i="1"/>
  <c r="D856" i="1"/>
  <c r="H856" i="1"/>
  <c r="K856" i="1"/>
  <c r="L856" i="1"/>
  <c r="M856" i="1"/>
  <c r="N856" i="1"/>
  <c r="C857" i="1"/>
  <c r="D857" i="1"/>
  <c r="H857" i="1"/>
  <c r="K857" i="1"/>
  <c r="L857" i="1"/>
  <c r="M857" i="1"/>
  <c r="N857" i="1"/>
  <c r="C858" i="1"/>
  <c r="D858" i="1"/>
  <c r="H858" i="1"/>
  <c r="K858" i="1"/>
  <c r="L858" i="1"/>
  <c r="M858" i="1"/>
  <c r="N858" i="1"/>
  <c r="C859" i="1"/>
  <c r="D859" i="1"/>
  <c r="H859" i="1"/>
  <c r="K859" i="1"/>
  <c r="L859" i="1"/>
  <c r="M859" i="1"/>
  <c r="N859" i="1"/>
  <c r="C860" i="1"/>
  <c r="D860" i="1"/>
  <c r="H860" i="1"/>
  <c r="K860" i="1"/>
  <c r="L860" i="1"/>
  <c r="M860" i="1"/>
  <c r="N860" i="1"/>
  <c r="C861" i="1"/>
  <c r="D861" i="1"/>
  <c r="H861" i="1"/>
  <c r="K861" i="1"/>
  <c r="L861" i="1"/>
  <c r="M861" i="1"/>
  <c r="N861" i="1"/>
  <c r="C862" i="1"/>
  <c r="D862" i="1"/>
  <c r="K862" i="1"/>
  <c r="C863" i="1"/>
  <c r="D863" i="1"/>
  <c r="H863" i="1"/>
  <c r="K863" i="1"/>
  <c r="L863" i="1"/>
  <c r="M863" i="1"/>
  <c r="N863" i="1"/>
  <c r="C864" i="1"/>
  <c r="D864" i="1"/>
  <c r="H864" i="1"/>
  <c r="K864" i="1"/>
  <c r="L864" i="1"/>
  <c r="M864" i="1"/>
  <c r="N864" i="1"/>
  <c r="C865" i="1"/>
  <c r="D865" i="1"/>
  <c r="H865" i="1"/>
  <c r="K865" i="1"/>
  <c r="L865" i="1"/>
  <c r="M865" i="1"/>
  <c r="N865" i="1"/>
  <c r="C866" i="1"/>
  <c r="D866" i="1"/>
  <c r="H866" i="1"/>
  <c r="K866" i="1"/>
  <c r="L866" i="1"/>
  <c r="M866" i="1"/>
  <c r="N866" i="1"/>
  <c r="C867" i="1"/>
  <c r="D867" i="1"/>
  <c r="H867" i="1"/>
  <c r="K867" i="1"/>
  <c r="L867" i="1"/>
  <c r="M867" i="1"/>
  <c r="N867" i="1"/>
  <c r="C868" i="1"/>
  <c r="D868" i="1"/>
  <c r="H868" i="1"/>
  <c r="K868" i="1"/>
  <c r="L868" i="1"/>
  <c r="M868" i="1"/>
  <c r="N868" i="1"/>
  <c r="C869" i="1"/>
  <c r="D869" i="1"/>
  <c r="H869" i="1"/>
  <c r="K869" i="1"/>
  <c r="L869" i="1"/>
  <c r="M869" i="1"/>
  <c r="N869" i="1"/>
  <c r="C870" i="1"/>
  <c r="D870" i="1"/>
  <c r="H870" i="1"/>
  <c r="K870" i="1"/>
  <c r="L870" i="1"/>
  <c r="M870" i="1"/>
  <c r="N870" i="1"/>
  <c r="C871" i="1"/>
  <c r="D871" i="1"/>
  <c r="H871" i="1"/>
  <c r="K871" i="1"/>
  <c r="L871" i="1"/>
  <c r="M871" i="1"/>
  <c r="N871" i="1"/>
  <c r="C872" i="1"/>
  <c r="D872" i="1"/>
  <c r="H872" i="1"/>
  <c r="K872" i="1"/>
  <c r="L872" i="1"/>
  <c r="M872" i="1"/>
  <c r="N872" i="1"/>
  <c r="C873" i="1"/>
  <c r="D873" i="1"/>
  <c r="H873" i="1"/>
  <c r="K873" i="1"/>
  <c r="L873" i="1"/>
  <c r="M873" i="1"/>
  <c r="N873" i="1"/>
  <c r="C874" i="1"/>
  <c r="D874" i="1"/>
  <c r="H874" i="1"/>
  <c r="K874" i="1"/>
  <c r="L874" i="1"/>
  <c r="M874" i="1"/>
  <c r="N874" i="1"/>
  <c r="C875" i="1"/>
  <c r="D875" i="1"/>
  <c r="H875" i="1"/>
  <c r="K875" i="1"/>
  <c r="L875" i="1"/>
  <c r="M875" i="1"/>
  <c r="N875" i="1"/>
  <c r="C876" i="1"/>
  <c r="D876" i="1"/>
  <c r="H876" i="1"/>
  <c r="K876" i="1"/>
  <c r="L876" i="1"/>
  <c r="M876" i="1"/>
  <c r="N876" i="1"/>
  <c r="C877" i="1"/>
  <c r="D877" i="1"/>
  <c r="H877" i="1"/>
  <c r="K877" i="1"/>
  <c r="L877" i="1"/>
  <c r="M877" i="1"/>
  <c r="N877" i="1"/>
  <c r="C878" i="1"/>
  <c r="D878" i="1"/>
  <c r="H878" i="1"/>
  <c r="K878" i="1"/>
  <c r="L878" i="1"/>
  <c r="M878" i="1"/>
  <c r="N878" i="1"/>
  <c r="C879" i="1"/>
  <c r="D879" i="1"/>
  <c r="H879" i="1"/>
  <c r="K879" i="1"/>
  <c r="L879" i="1"/>
  <c r="M879" i="1"/>
  <c r="N879" i="1"/>
  <c r="C880" i="1"/>
  <c r="D880" i="1"/>
  <c r="K880" i="1"/>
  <c r="C881" i="1"/>
  <c r="D881" i="1"/>
  <c r="H881" i="1"/>
  <c r="K881" i="1"/>
  <c r="L881" i="1"/>
  <c r="M881" i="1"/>
  <c r="N881" i="1"/>
  <c r="C882" i="1"/>
  <c r="D882" i="1"/>
  <c r="H882" i="1"/>
  <c r="K882" i="1"/>
  <c r="L882" i="1"/>
  <c r="M882" i="1"/>
  <c r="N882" i="1"/>
  <c r="C883" i="1"/>
  <c r="D883" i="1"/>
  <c r="H883" i="1"/>
  <c r="K883" i="1"/>
  <c r="L883" i="1"/>
  <c r="M883" i="1"/>
  <c r="N883" i="1"/>
  <c r="C884" i="1"/>
  <c r="D884" i="1"/>
  <c r="H884" i="1"/>
  <c r="K884" i="1"/>
  <c r="L884" i="1"/>
  <c r="M884" i="1"/>
  <c r="N884" i="1"/>
  <c r="C885" i="1"/>
  <c r="D885" i="1"/>
  <c r="K885" i="1"/>
  <c r="C886" i="1"/>
  <c r="D886" i="1"/>
  <c r="H886" i="1"/>
  <c r="K886" i="1"/>
  <c r="L886" i="1"/>
  <c r="M886" i="1"/>
  <c r="N886" i="1"/>
  <c r="C887" i="1"/>
  <c r="D887" i="1"/>
  <c r="H887" i="1"/>
  <c r="K887" i="1"/>
  <c r="L887" i="1"/>
  <c r="M887" i="1"/>
  <c r="N887" i="1"/>
  <c r="C888" i="1"/>
  <c r="D888" i="1"/>
  <c r="K888" i="1"/>
  <c r="C889" i="1"/>
  <c r="D889" i="1"/>
  <c r="H889" i="1"/>
  <c r="K889" i="1"/>
  <c r="L889" i="1"/>
  <c r="M889" i="1"/>
  <c r="N889" i="1"/>
  <c r="C890" i="1"/>
  <c r="D890" i="1"/>
  <c r="H890" i="1"/>
  <c r="K890" i="1"/>
  <c r="L890" i="1"/>
  <c r="M890" i="1"/>
  <c r="N890" i="1"/>
  <c r="C891" i="1"/>
  <c r="D891" i="1"/>
  <c r="H891" i="1"/>
  <c r="K891" i="1"/>
  <c r="L891" i="1"/>
  <c r="M891" i="1"/>
  <c r="N891" i="1"/>
  <c r="C892" i="1"/>
  <c r="D892" i="1"/>
  <c r="H892" i="1"/>
  <c r="K892" i="1"/>
  <c r="L892" i="1"/>
  <c r="M892" i="1"/>
  <c r="N892" i="1"/>
  <c r="C893" i="1"/>
  <c r="D893" i="1"/>
  <c r="H893" i="1"/>
  <c r="K893" i="1"/>
  <c r="L893" i="1"/>
  <c r="M893" i="1"/>
  <c r="N893" i="1"/>
  <c r="C894" i="1"/>
  <c r="D894" i="1"/>
  <c r="H894" i="1"/>
  <c r="K894" i="1"/>
  <c r="L894" i="1"/>
  <c r="M894" i="1"/>
  <c r="N894" i="1"/>
  <c r="C895" i="1"/>
  <c r="D895" i="1"/>
  <c r="H895" i="1"/>
  <c r="K895" i="1"/>
  <c r="L895" i="1"/>
  <c r="M895" i="1"/>
  <c r="N895" i="1"/>
  <c r="C896" i="1"/>
  <c r="D896" i="1"/>
  <c r="H896" i="1"/>
  <c r="K896" i="1"/>
  <c r="L896" i="1"/>
  <c r="M896" i="1"/>
  <c r="N896" i="1"/>
  <c r="C897" i="1"/>
  <c r="D897" i="1"/>
  <c r="K897" i="1"/>
  <c r="C898" i="1"/>
  <c r="D898" i="1"/>
  <c r="H898" i="1"/>
  <c r="K898" i="1"/>
  <c r="L898" i="1"/>
  <c r="M898" i="1"/>
  <c r="N898" i="1"/>
  <c r="C899" i="1"/>
  <c r="D899" i="1"/>
  <c r="H899" i="1"/>
  <c r="K899" i="1"/>
  <c r="L899" i="1"/>
  <c r="M899" i="1"/>
  <c r="N899" i="1"/>
  <c r="C900" i="1"/>
  <c r="D900" i="1"/>
  <c r="H900" i="1"/>
  <c r="K900" i="1"/>
  <c r="L900" i="1"/>
  <c r="M900" i="1"/>
  <c r="N900" i="1"/>
  <c r="C901" i="1"/>
  <c r="D901" i="1"/>
  <c r="H901" i="1"/>
  <c r="K901" i="1"/>
  <c r="L901" i="1"/>
  <c r="M901" i="1"/>
  <c r="N901" i="1"/>
  <c r="C902" i="1"/>
  <c r="D902" i="1"/>
  <c r="H902" i="1"/>
  <c r="K902" i="1"/>
  <c r="L902" i="1"/>
  <c r="M902" i="1"/>
  <c r="N902" i="1"/>
  <c r="C903" i="1"/>
  <c r="D903" i="1"/>
  <c r="H903" i="1"/>
  <c r="K903" i="1"/>
  <c r="L903" i="1"/>
  <c r="M903" i="1"/>
  <c r="N903" i="1"/>
  <c r="C904" i="1"/>
  <c r="D904" i="1"/>
  <c r="H904" i="1"/>
  <c r="K904" i="1"/>
  <c r="L904" i="1"/>
  <c r="M904" i="1"/>
  <c r="N904" i="1"/>
  <c r="C905" i="1"/>
  <c r="D905" i="1"/>
  <c r="H905" i="1"/>
  <c r="K905" i="1"/>
  <c r="L905" i="1"/>
  <c r="M905" i="1"/>
  <c r="N905" i="1"/>
  <c r="C906" i="1"/>
  <c r="D906" i="1"/>
  <c r="H906" i="1"/>
  <c r="K906" i="1"/>
  <c r="L906" i="1"/>
  <c r="M906" i="1"/>
  <c r="N906" i="1"/>
  <c r="C907" i="1"/>
  <c r="D907" i="1"/>
  <c r="H907" i="1"/>
  <c r="K907" i="1"/>
  <c r="L907" i="1"/>
  <c r="M907" i="1"/>
  <c r="N907" i="1"/>
  <c r="C908" i="1"/>
  <c r="D908" i="1"/>
  <c r="H908" i="1"/>
  <c r="K908" i="1"/>
  <c r="L908" i="1"/>
  <c r="M908" i="1"/>
  <c r="N908" i="1"/>
  <c r="C909" i="1"/>
  <c r="D909" i="1"/>
  <c r="K909" i="1"/>
  <c r="C910" i="1"/>
  <c r="D910" i="1"/>
  <c r="H910" i="1"/>
  <c r="K910" i="1"/>
  <c r="L910" i="1"/>
  <c r="M910" i="1"/>
  <c r="N910" i="1"/>
  <c r="C911" i="1"/>
  <c r="D911" i="1"/>
  <c r="H911" i="1"/>
  <c r="K911" i="1"/>
  <c r="L911" i="1"/>
  <c r="M911" i="1"/>
  <c r="N911" i="1"/>
  <c r="C912" i="1"/>
  <c r="D912" i="1"/>
  <c r="H912" i="1"/>
  <c r="K912" i="1"/>
  <c r="L912" i="1"/>
  <c r="M912" i="1"/>
  <c r="N912" i="1"/>
  <c r="C913" i="1"/>
  <c r="D913" i="1"/>
  <c r="H913" i="1"/>
  <c r="K913" i="1"/>
  <c r="L913" i="1"/>
  <c r="M913" i="1"/>
  <c r="N913" i="1"/>
  <c r="C914" i="1"/>
  <c r="D914" i="1"/>
  <c r="H914" i="1"/>
  <c r="K914" i="1"/>
  <c r="L914" i="1"/>
  <c r="M914" i="1"/>
  <c r="N914" i="1"/>
  <c r="C915" i="1"/>
  <c r="D915" i="1"/>
  <c r="H915" i="1"/>
  <c r="K915" i="1"/>
  <c r="L915" i="1"/>
  <c r="M915" i="1"/>
  <c r="N915" i="1"/>
  <c r="C916" i="1"/>
  <c r="D916" i="1"/>
  <c r="H916" i="1"/>
  <c r="K916" i="1"/>
  <c r="L916" i="1"/>
  <c r="M916" i="1"/>
  <c r="N916" i="1"/>
  <c r="C917" i="1"/>
  <c r="D917" i="1"/>
  <c r="H917" i="1"/>
  <c r="K917" i="1"/>
  <c r="L917" i="1"/>
  <c r="M917" i="1"/>
  <c r="N917" i="1"/>
  <c r="C918" i="1"/>
  <c r="D918" i="1"/>
  <c r="H918" i="1"/>
  <c r="K918" i="1"/>
  <c r="L918" i="1"/>
  <c r="M918" i="1"/>
  <c r="N918" i="1"/>
  <c r="C919" i="1"/>
  <c r="D919" i="1"/>
  <c r="H919" i="1"/>
  <c r="K919" i="1"/>
  <c r="L919" i="1"/>
  <c r="M919" i="1"/>
  <c r="N919" i="1"/>
  <c r="C920" i="1"/>
  <c r="D920" i="1"/>
  <c r="H920" i="1"/>
  <c r="K920" i="1"/>
  <c r="L920" i="1"/>
  <c r="M920" i="1"/>
  <c r="N920" i="1"/>
  <c r="C921" i="1"/>
  <c r="D921" i="1"/>
  <c r="H921" i="1"/>
  <c r="K921" i="1"/>
  <c r="L921" i="1"/>
  <c r="M921" i="1"/>
  <c r="N921" i="1"/>
  <c r="C922" i="1"/>
  <c r="D922" i="1"/>
  <c r="H922" i="1"/>
  <c r="K922" i="1"/>
  <c r="L922" i="1"/>
  <c r="M922" i="1"/>
  <c r="N922" i="1"/>
  <c r="C923" i="1"/>
  <c r="D923" i="1"/>
  <c r="H923" i="1"/>
  <c r="K923" i="1"/>
  <c r="L923" i="1"/>
  <c r="M923" i="1"/>
  <c r="N923" i="1"/>
  <c r="C924" i="1"/>
  <c r="D924" i="1"/>
  <c r="H924" i="1"/>
  <c r="K924" i="1"/>
  <c r="L924" i="1"/>
  <c r="M924" i="1"/>
  <c r="N924" i="1"/>
  <c r="C925" i="1"/>
  <c r="D925" i="1"/>
  <c r="H925" i="1"/>
  <c r="K925" i="1"/>
  <c r="L925" i="1"/>
  <c r="M925" i="1"/>
  <c r="N925" i="1"/>
  <c r="C926" i="1"/>
  <c r="D926" i="1"/>
  <c r="H926" i="1"/>
  <c r="K926" i="1"/>
  <c r="L926" i="1"/>
  <c r="M926" i="1"/>
  <c r="N926" i="1"/>
  <c r="C927" i="1"/>
  <c r="D927" i="1"/>
  <c r="H927" i="1"/>
  <c r="K927" i="1"/>
  <c r="L927" i="1"/>
  <c r="M927" i="1"/>
  <c r="N927" i="1"/>
  <c r="C928" i="1"/>
  <c r="D928" i="1"/>
  <c r="K928" i="1"/>
  <c r="L928" i="1"/>
  <c r="M928" i="1"/>
  <c r="N928" i="1"/>
  <c r="C929" i="1"/>
  <c r="D929" i="1"/>
  <c r="H929" i="1"/>
  <c r="K929" i="1"/>
  <c r="L929" i="1"/>
  <c r="M929" i="1"/>
  <c r="N929" i="1"/>
  <c r="C930" i="1"/>
  <c r="D930" i="1"/>
  <c r="H930" i="1"/>
  <c r="K930" i="1"/>
  <c r="L930" i="1"/>
  <c r="M930" i="1"/>
  <c r="N930" i="1"/>
  <c r="C931" i="1"/>
  <c r="D931" i="1"/>
  <c r="H931" i="1"/>
  <c r="K931" i="1"/>
  <c r="L931" i="1"/>
  <c r="M931" i="1"/>
  <c r="N931" i="1"/>
  <c r="C932" i="1"/>
  <c r="D932" i="1"/>
  <c r="H932" i="1"/>
  <c r="K932" i="1"/>
  <c r="L932" i="1"/>
  <c r="M932" i="1"/>
  <c r="N932" i="1"/>
  <c r="C933" i="1"/>
  <c r="D933" i="1"/>
  <c r="H933" i="1"/>
  <c r="K933" i="1"/>
  <c r="L933" i="1"/>
  <c r="M933" i="1"/>
  <c r="N933" i="1"/>
  <c r="C934" i="1"/>
  <c r="D934" i="1"/>
  <c r="H934" i="1"/>
  <c r="K934" i="1"/>
  <c r="L934" i="1"/>
  <c r="M934" i="1"/>
  <c r="N934" i="1"/>
  <c r="C935" i="1"/>
  <c r="D935" i="1"/>
  <c r="H935" i="1"/>
  <c r="K935" i="1"/>
  <c r="L935" i="1"/>
  <c r="M935" i="1"/>
  <c r="N935" i="1"/>
  <c r="C936" i="1"/>
  <c r="D936" i="1"/>
  <c r="H936" i="1"/>
  <c r="K936" i="1"/>
  <c r="L936" i="1"/>
  <c r="M936" i="1"/>
  <c r="N936" i="1"/>
  <c r="C937" i="1"/>
  <c r="D937" i="1"/>
  <c r="H937" i="1"/>
  <c r="K937" i="1"/>
  <c r="L937" i="1"/>
  <c r="M937" i="1"/>
  <c r="N937" i="1"/>
  <c r="C938" i="1"/>
  <c r="D938" i="1"/>
  <c r="H938" i="1"/>
  <c r="K938" i="1"/>
  <c r="L938" i="1"/>
  <c r="M938" i="1"/>
  <c r="N938" i="1"/>
  <c r="C939" i="1"/>
  <c r="D939" i="1"/>
  <c r="H939" i="1"/>
  <c r="K939" i="1"/>
  <c r="L939" i="1"/>
  <c r="M939" i="1"/>
  <c r="N939" i="1"/>
  <c r="C940" i="1"/>
  <c r="D940" i="1"/>
  <c r="H940" i="1"/>
  <c r="K940" i="1"/>
  <c r="L940" i="1"/>
  <c r="M940" i="1"/>
  <c r="N940" i="1"/>
  <c r="C941" i="1"/>
  <c r="D941" i="1"/>
  <c r="H941" i="1"/>
  <c r="K941" i="1"/>
  <c r="L941" i="1"/>
  <c r="M941" i="1"/>
  <c r="N941" i="1"/>
  <c r="C942" i="1"/>
  <c r="D942" i="1"/>
  <c r="H942" i="1"/>
  <c r="K942" i="1"/>
  <c r="L942" i="1"/>
  <c r="M942" i="1"/>
  <c r="N942" i="1"/>
  <c r="C943" i="1"/>
  <c r="D943" i="1"/>
  <c r="H943" i="1"/>
  <c r="K943" i="1"/>
  <c r="L943" i="1"/>
  <c r="M943" i="1"/>
  <c r="N943" i="1"/>
  <c r="C944" i="1"/>
  <c r="D944" i="1"/>
  <c r="H944" i="1"/>
  <c r="K944" i="1"/>
  <c r="L944" i="1"/>
  <c r="M944" i="1"/>
  <c r="N944" i="1"/>
  <c r="C945" i="1"/>
  <c r="D945" i="1"/>
  <c r="H945" i="1"/>
  <c r="K945" i="1"/>
  <c r="L945" i="1"/>
  <c r="M945" i="1"/>
  <c r="N945" i="1"/>
  <c r="C946" i="1"/>
  <c r="D946" i="1"/>
  <c r="H946" i="1"/>
  <c r="K946" i="1"/>
  <c r="L946" i="1"/>
  <c r="M946" i="1"/>
  <c r="N946" i="1"/>
  <c r="C947" i="1"/>
  <c r="D947" i="1"/>
  <c r="H947" i="1"/>
  <c r="K947" i="1"/>
  <c r="L947" i="1"/>
  <c r="M947" i="1"/>
  <c r="N947" i="1"/>
  <c r="C948" i="1"/>
  <c r="D948" i="1"/>
  <c r="H948" i="1"/>
  <c r="K948" i="1"/>
  <c r="L948" i="1"/>
  <c r="M948" i="1"/>
  <c r="N948" i="1"/>
  <c r="C949" i="1"/>
  <c r="D949" i="1"/>
  <c r="H949" i="1"/>
  <c r="K949" i="1"/>
  <c r="L949" i="1"/>
  <c r="M949" i="1"/>
  <c r="N949" i="1"/>
  <c r="C950" i="1"/>
  <c r="D950" i="1"/>
  <c r="H950" i="1"/>
  <c r="K950" i="1"/>
  <c r="L950" i="1"/>
  <c r="M950" i="1"/>
  <c r="N950" i="1"/>
  <c r="C951" i="1"/>
  <c r="D951" i="1"/>
  <c r="H951" i="1"/>
  <c r="K951" i="1"/>
  <c r="L951" i="1"/>
  <c r="M951" i="1"/>
  <c r="N951" i="1"/>
  <c r="C952" i="1"/>
  <c r="D952" i="1"/>
  <c r="H952" i="1"/>
  <c r="K952" i="1"/>
  <c r="L952" i="1"/>
  <c r="M952" i="1"/>
  <c r="N952" i="1"/>
  <c r="C953" i="1"/>
  <c r="D953" i="1"/>
  <c r="H953" i="1"/>
  <c r="K953" i="1"/>
  <c r="L953" i="1"/>
  <c r="M953" i="1"/>
  <c r="N953" i="1"/>
  <c r="C954" i="1"/>
  <c r="D954" i="1"/>
  <c r="H954" i="1"/>
  <c r="K954" i="1"/>
  <c r="L954" i="1"/>
  <c r="M954" i="1"/>
  <c r="N954" i="1"/>
  <c r="C955" i="1"/>
  <c r="D955" i="1"/>
  <c r="H955" i="1"/>
  <c r="K955" i="1"/>
  <c r="L955" i="1"/>
  <c r="M955" i="1"/>
  <c r="N955" i="1"/>
  <c r="C956" i="1"/>
  <c r="D956" i="1"/>
  <c r="H956" i="1"/>
  <c r="K956" i="1"/>
  <c r="L956" i="1"/>
  <c r="M956" i="1"/>
  <c r="N956" i="1"/>
  <c r="C957" i="1"/>
  <c r="D957" i="1"/>
  <c r="H957" i="1"/>
  <c r="K957" i="1"/>
  <c r="L957" i="1"/>
  <c r="M957" i="1"/>
  <c r="N957" i="1"/>
  <c r="C958" i="1"/>
  <c r="D958" i="1"/>
  <c r="H958" i="1"/>
  <c r="K958" i="1"/>
  <c r="L958" i="1"/>
  <c r="M958" i="1"/>
  <c r="N958" i="1"/>
  <c r="C959" i="1"/>
  <c r="D959" i="1"/>
  <c r="H959" i="1"/>
  <c r="K959" i="1"/>
  <c r="L959" i="1"/>
  <c r="M959" i="1"/>
  <c r="N959" i="1"/>
  <c r="C960" i="1"/>
  <c r="D960" i="1"/>
  <c r="H960" i="1"/>
  <c r="K960" i="1"/>
  <c r="L960" i="1"/>
  <c r="M960" i="1"/>
  <c r="N960" i="1"/>
  <c r="C961" i="1"/>
  <c r="D961" i="1"/>
  <c r="H961" i="1"/>
  <c r="K961" i="1"/>
  <c r="L961" i="1"/>
  <c r="M961" i="1"/>
  <c r="N961" i="1"/>
  <c r="C962" i="1"/>
  <c r="D962" i="1"/>
  <c r="H962" i="1"/>
  <c r="K962" i="1"/>
  <c r="L962" i="1"/>
  <c r="M962" i="1"/>
  <c r="N962" i="1"/>
  <c r="C963" i="1"/>
  <c r="D963" i="1"/>
  <c r="H963" i="1"/>
  <c r="K963" i="1"/>
  <c r="L963" i="1"/>
  <c r="M963" i="1"/>
  <c r="N963" i="1"/>
  <c r="C964" i="1"/>
  <c r="D964" i="1"/>
  <c r="H964" i="1"/>
  <c r="K964" i="1"/>
  <c r="L964" i="1"/>
  <c r="M964" i="1"/>
  <c r="N964" i="1"/>
  <c r="C965" i="1"/>
  <c r="D965" i="1"/>
  <c r="H965" i="1"/>
  <c r="K965" i="1"/>
  <c r="L965" i="1"/>
  <c r="M965" i="1"/>
  <c r="N965" i="1"/>
  <c r="C966" i="1"/>
  <c r="D966" i="1"/>
  <c r="H966" i="1"/>
  <c r="K966" i="1"/>
  <c r="L966" i="1"/>
  <c r="M966" i="1"/>
  <c r="N966" i="1"/>
  <c r="C967" i="1"/>
  <c r="D967" i="1"/>
  <c r="H967" i="1"/>
  <c r="K967" i="1"/>
  <c r="L967" i="1"/>
  <c r="M967" i="1"/>
  <c r="N967" i="1"/>
  <c r="C968" i="1"/>
  <c r="D968" i="1"/>
  <c r="H968" i="1"/>
  <c r="K968" i="1"/>
  <c r="L968" i="1"/>
  <c r="M968" i="1"/>
  <c r="N968" i="1"/>
  <c r="C969" i="1"/>
  <c r="D969" i="1"/>
  <c r="H969" i="1"/>
  <c r="K969" i="1"/>
  <c r="L969" i="1"/>
  <c r="M969" i="1"/>
  <c r="N969" i="1"/>
  <c r="C970" i="1"/>
  <c r="D970" i="1"/>
  <c r="H970" i="1"/>
  <c r="K970" i="1"/>
  <c r="L970" i="1"/>
  <c r="M970" i="1"/>
  <c r="N970" i="1"/>
  <c r="C971" i="1"/>
  <c r="D971" i="1"/>
  <c r="H971" i="1"/>
  <c r="K971" i="1"/>
  <c r="L971" i="1"/>
  <c r="M971" i="1"/>
  <c r="N971" i="1"/>
  <c r="C972" i="1"/>
  <c r="D972" i="1"/>
  <c r="H972" i="1"/>
  <c r="K972" i="1"/>
  <c r="L972" i="1"/>
  <c r="M972" i="1"/>
  <c r="N972" i="1"/>
  <c r="C973" i="1"/>
  <c r="D973" i="1"/>
  <c r="H973" i="1"/>
  <c r="K973" i="1"/>
  <c r="L973" i="1"/>
  <c r="M973" i="1"/>
  <c r="N973" i="1"/>
  <c r="C974" i="1"/>
  <c r="D974" i="1"/>
  <c r="H974" i="1"/>
  <c r="K974" i="1"/>
  <c r="L974" i="1"/>
  <c r="M974" i="1"/>
  <c r="N974" i="1"/>
  <c r="C975" i="1"/>
  <c r="D975" i="1"/>
  <c r="H975" i="1"/>
  <c r="K975" i="1"/>
  <c r="L975" i="1"/>
  <c r="M975" i="1"/>
  <c r="N975" i="1"/>
  <c r="C976" i="1"/>
  <c r="D976" i="1"/>
  <c r="K976" i="1"/>
  <c r="L976" i="1"/>
  <c r="M976" i="1"/>
  <c r="N976" i="1"/>
  <c r="C977" i="1"/>
  <c r="D977" i="1"/>
  <c r="H977" i="1"/>
  <c r="K977" i="1"/>
  <c r="L977" i="1"/>
  <c r="M977" i="1"/>
  <c r="N977" i="1"/>
  <c r="C978" i="1"/>
  <c r="D978" i="1"/>
  <c r="H978" i="1"/>
  <c r="K978" i="1"/>
  <c r="L978" i="1"/>
  <c r="M978" i="1"/>
  <c r="N978" i="1"/>
  <c r="C979" i="1"/>
  <c r="D979" i="1"/>
  <c r="H979" i="1"/>
  <c r="K979" i="1"/>
  <c r="L979" i="1"/>
  <c r="M979" i="1"/>
  <c r="N979" i="1"/>
  <c r="C980" i="1"/>
  <c r="D980" i="1"/>
  <c r="H980" i="1"/>
  <c r="K980" i="1"/>
  <c r="L980" i="1"/>
  <c r="M980" i="1"/>
  <c r="N980" i="1"/>
  <c r="C981" i="1"/>
  <c r="D981" i="1"/>
  <c r="H981" i="1"/>
  <c r="K981" i="1"/>
  <c r="L981" i="1"/>
  <c r="M981" i="1"/>
  <c r="N981" i="1"/>
  <c r="C982" i="1"/>
  <c r="D982" i="1"/>
  <c r="H982" i="1"/>
  <c r="K982" i="1"/>
  <c r="L982" i="1"/>
  <c r="M982" i="1"/>
  <c r="N982" i="1"/>
  <c r="C983" i="1"/>
  <c r="D983" i="1"/>
  <c r="H983" i="1"/>
  <c r="K983" i="1"/>
  <c r="L983" i="1"/>
  <c r="M983" i="1"/>
  <c r="N983" i="1"/>
  <c r="C984" i="1"/>
  <c r="D984" i="1"/>
  <c r="H984" i="1"/>
  <c r="K984" i="1"/>
  <c r="L984" i="1"/>
  <c r="M984" i="1"/>
  <c r="N984" i="1"/>
  <c r="C985" i="1"/>
  <c r="D985" i="1"/>
  <c r="H985" i="1"/>
  <c r="K985" i="1"/>
  <c r="L985" i="1"/>
  <c r="M985" i="1"/>
  <c r="N985" i="1"/>
  <c r="C986" i="1"/>
  <c r="D986" i="1"/>
  <c r="H986" i="1"/>
  <c r="K986" i="1"/>
  <c r="L986" i="1"/>
  <c r="M986" i="1"/>
  <c r="N986" i="1"/>
  <c r="C987" i="1"/>
  <c r="D987" i="1"/>
  <c r="H987" i="1"/>
  <c r="K987" i="1"/>
  <c r="L987" i="1"/>
  <c r="M987" i="1"/>
  <c r="N987" i="1"/>
  <c r="C988" i="1"/>
  <c r="D988" i="1"/>
  <c r="H988" i="1"/>
  <c r="K988" i="1"/>
  <c r="L988" i="1"/>
  <c r="M988" i="1"/>
  <c r="N988" i="1"/>
  <c r="C989" i="1"/>
  <c r="D989" i="1"/>
  <c r="H989" i="1"/>
  <c r="K989" i="1"/>
  <c r="L989" i="1"/>
  <c r="M989" i="1"/>
  <c r="N989" i="1"/>
  <c r="C990" i="1"/>
  <c r="D990" i="1"/>
  <c r="H990" i="1"/>
  <c r="K990" i="1"/>
  <c r="L990" i="1"/>
  <c r="M990" i="1"/>
  <c r="N990" i="1"/>
  <c r="C991" i="1"/>
  <c r="D991" i="1"/>
  <c r="H991" i="1"/>
  <c r="K991" i="1"/>
  <c r="L991" i="1"/>
  <c r="M991" i="1"/>
  <c r="N991" i="1"/>
  <c r="C992" i="1"/>
  <c r="D992" i="1"/>
  <c r="H992" i="1"/>
  <c r="K992" i="1"/>
  <c r="L992" i="1"/>
  <c r="M992" i="1"/>
  <c r="N992" i="1"/>
  <c r="C993" i="1"/>
  <c r="D993" i="1"/>
  <c r="H993" i="1"/>
  <c r="K993" i="1"/>
  <c r="L993" i="1"/>
  <c r="M993" i="1"/>
  <c r="N993" i="1"/>
  <c r="C994" i="1"/>
  <c r="D994" i="1"/>
  <c r="H994" i="1"/>
  <c r="K994" i="1"/>
  <c r="L994" i="1"/>
  <c r="M994" i="1"/>
  <c r="N994" i="1"/>
  <c r="C995" i="1"/>
  <c r="D995" i="1"/>
  <c r="H995" i="1"/>
  <c r="K995" i="1"/>
  <c r="L995" i="1"/>
  <c r="M995" i="1"/>
  <c r="N995" i="1"/>
  <c r="C996" i="1"/>
  <c r="D996" i="1"/>
  <c r="H996" i="1"/>
  <c r="K996" i="1"/>
  <c r="L996" i="1"/>
  <c r="M996" i="1"/>
  <c r="N996" i="1"/>
  <c r="C997" i="1"/>
  <c r="D997" i="1"/>
  <c r="H997" i="1"/>
  <c r="K997" i="1"/>
  <c r="L997" i="1"/>
  <c r="M997" i="1"/>
  <c r="N997" i="1"/>
  <c r="C998" i="1"/>
  <c r="D998" i="1"/>
  <c r="H998" i="1"/>
  <c r="K998" i="1"/>
  <c r="L998" i="1"/>
  <c r="M998" i="1"/>
  <c r="N998" i="1"/>
  <c r="C999" i="1"/>
  <c r="D999" i="1"/>
  <c r="H999" i="1"/>
  <c r="K999" i="1"/>
  <c r="L999" i="1"/>
  <c r="M999" i="1"/>
  <c r="N999" i="1"/>
  <c r="C1000" i="1"/>
  <c r="D1000" i="1"/>
  <c r="H1000" i="1"/>
  <c r="K1000" i="1"/>
  <c r="L1000" i="1"/>
  <c r="M1000" i="1"/>
  <c r="N1000" i="1"/>
  <c r="C1001" i="1"/>
  <c r="D1001" i="1"/>
  <c r="H1001" i="1"/>
  <c r="K1001" i="1"/>
  <c r="L1001" i="1"/>
  <c r="M1001" i="1"/>
  <c r="N1001" i="1"/>
  <c r="C1002" i="1"/>
  <c r="D1002" i="1"/>
  <c r="H1002" i="1"/>
  <c r="K1002" i="1"/>
  <c r="L1002" i="1"/>
  <c r="M1002" i="1"/>
  <c r="N1002" i="1"/>
  <c r="C1003" i="1"/>
  <c r="D1003" i="1"/>
  <c r="H1003" i="1"/>
  <c r="K1003" i="1"/>
  <c r="L1003" i="1"/>
  <c r="M1003" i="1"/>
  <c r="N1003" i="1"/>
  <c r="C1004" i="1"/>
  <c r="D1004" i="1"/>
  <c r="H1004" i="1"/>
  <c r="K1004" i="1"/>
  <c r="L1004" i="1"/>
  <c r="M1004" i="1"/>
  <c r="N1004" i="1"/>
  <c r="C1005" i="1"/>
  <c r="D1005" i="1"/>
  <c r="H1005" i="1"/>
  <c r="K1005" i="1"/>
  <c r="L1005" i="1"/>
  <c r="M1005" i="1"/>
  <c r="N1005" i="1"/>
  <c r="C1006" i="1"/>
  <c r="D1006" i="1"/>
  <c r="H1006" i="1"/>
  <c r="K1006" i="1"/>
  <c r="L1006" i="1"/>
  <c r="M1006" i="1"/>
  <c r="N1006" i="1"/>
  <c r="C1007" i="1"/>
  <c r="D1007" i="1"/>
  <c r="K1007" i="1"/>
  <c r="C1008" i="1"/>
  <c r="D1008" i="1"/>
  <c r="H1008" i="1"/>
  <c r="K1008" i="1"/>
  <c r="L1008" i="1"/>
  <c r="M1008" i="1"/>
  <c r="N1008" i="1"/>
  <c r="C1009" i="1"/>
  <c r="D1009" i="1"/>
  <c r="H1009" i="1"/>
  <c r="K1009" i="1"/>
  <c r="L1009" i="1"/>
  <c r="M1009" i="1"/>
  <c r="N1009" i="1"/>
  <c r="C1010" i="1"/>
  <c r="D1010" i="1"/>
  <c r="H1010" i="1"/>
  <c r="K1010" i="1"/>
  <c r="L1010" i="1"/>
  <c r="M1010" i="1"/>
  <c r="N1010" i="1"/>
  <c r="C1011" i="1"/>
  <c r="D1011" i="1"/>
  <c r="H1011" i="1"/>
  <c r="K1011" i="1"/>
  <c r="L1011" i="1"/>
  <c r="M1011" i="1"/>
  <c r="N1011" i="1"/>
  <c r="C1012" i="1"/>
  <c r="D1012" i="1"/>
  <c r="H1012" i="1"/>
  <c r="K1012" i="1"/>
  <c r="L1012" i="1"/>
  <c r="M1012" i="1"/>
  <c r="N1012" i="1"/>
  <c r="C1013" i="1"/>
  <c r="D1013" i="1"/>
  <c r="H1013" i="1"/>
  <c r="K1013" i="1"/>
  <c r="L1013" i="1"/>
  <c r="M1013" i="1"/>
  <c r="N1013" i="1"/>
  <c r="C1014" i="1"/>
  <c r="D1014" i="1"/>
  <c r="H1014" i="1"/>
  <c r="K1014" i="1"/>
  <c r="L1014" i="1"/>
  <c r="M1014" i="1"/>
  <c r="N1014" i="1"/>
  <c r="C1015" i="1"/>
  <c r="D1015" i="1"/>
  <c r="H1015" i="1"/>
  <c r="K1015" i="1"/>
  <c r="L1015" i="1"/>
  <c r="M1015" i="1"/>
  <c r="N1015" i="1"/>
  <c r="C1016" i="1"/>
  <c r="D1016" i="1"/>
  <c r="H1016" i="1"/>
  <c r="K1016" i="1"/>
  <c r="L1016" i="1"/>
  <c r="M1016" i="1"/>
  <c r="N1016" i="1"/>
  <c r="C1017" i="1"/>
  <c r="D1017" i="1"/>
  <c r="H1017" i="1"/>
  <c r="K1017" i="1"/>
  <c r="L1017" i="1"/>
  <c r="M1017" i="1"/>
  <c r="N1017" i="1"/>
  <c r="C1018" i="1"/>
  <c r="D1018" i="1"/>
  <c r="H1018" i="1"/>
  <c r="K1018" i="1"/>
  <c r="L1018" i="1"/>
  <c r="M1018" i="1"/>
  <c r="N1018" i="1"/>
  <c r="C1019" i="1"/>
  <c r="D1019" i="1"/>
  <c r="H1019" i="1"/>
  <c r="K1019" i="1"/>
  <c r="L1019" i="1"/>
  <c r="M1019" i="1"/>
  <c r="N1019" i="1"/>
  <c r="C1020" i="1"/>
  <c r="D1020" i="1"/>
  <c r="H1020" i="1"/>
  <c r="K1020" i="1"/>
  <c r="L1020" i="1"/>
  <c r="M1020" i="1"/>
  <c r="N1020" i="1"/>
  <c r="C1021" i="1"/>
  <c r="D1021" i="1"/>
  <c r="K1021" i="1"/>
  <c r="C1022" i="1"/>
  <c r="D1022" i="1"/>
  <c r="H1022" i="1"/>
  <c r="K1022" i="1"/>
  <c r="L1022" i="1"/>
  <c r="M1022" i="1"/>
  <c r="N1022" i="1"/>
  <c r="C1023" i="1"/>
  <c r="D1023" i="1"/>
  <c r="H1023" i="1"/>
  <c r="K1023" i="1"/>
  <c r="L1023" i="1"/>
  <c r="M1023" i="1"/>
  <c r="N1023" i="1"/>
  <c r="C1024" i="1"/>
  <c r="D1024" i="1"/>
  <c r="H1024" i="1"/>
  <c r="K1024" i="1"/>
  <c r="L1024" i="1"/>
  <c r="M1024" i="1"/>
  <c r="N1024" i="1"/>
  <c r="C1025" i="1"/>
  <c r="D1025" i="1"/>
  <c r="H1025" i="1"/>
  <c r="K1025" i="1"/>
  <c r="L1025" i="1"/>
  <c r="M1025" i="1"/>
  <c r="N1025" i="1"/>
  <c r="C1026" i="1"/>
  <c r="D1026" i="1"/>
  <c r="H1026" i="1"/>
  <c r="K1026" i="1"/>
  <c r="L1026" i="1"/>
  <c r="M1026" i="1"/>
  <c r="N1026" i="1"/>
  <c r="C1027" i="1"/>
  <c r="D1027" i="1"/>
  <c r="H1027" i="1"/>
  <c r="K1027" i="1"/>
  <c r="L1027" i="1"/>
  <c r="M1027" i="1"/>
  <c r="N1027" i="1"/>
  <c r="C1028" i="1"/>
  <c r="D1028" i="1"/>
  <c r="H1028" i="1"/>
  <c r="K1028" i="1"/>
  <c r="L1028" i="1"/>
  <c r="M1028" i="1"/>
  <c r="N1028" i="1"/>
  <c r="C1029" i="1"/>
  <c r="D1029" i="1"/>
  <c r="H1029" i="1"/>
  <c r="K1029" i="1"/>
  <c r="L1029" i="1"/>
  <c r="M1029" i="1"/>
  <c r="N1029" i="1"/>
  <c r="C1030" i="1"/>
  <c r="D1030" i="1"/>
  <c r="H1030" i="1"/>
  <c r="K1030" i="1"/>
  <c r="L1030" i="1"/>
  <c r="M1030" i="1"/>
  <c r="N1030" i="1"/>
  <c r="C1031" i="1"/>
  <c r="D1031" i="1"/>
  <c r="H1031" i="1"/>
  <c r="K1031" i="1"/>
  <c r="L1031" i="1"/>
  <c r="M1031" i="1"/>
  <c r="N1031" i="1"/>
  <c r="C1032" i="1"/>
  <c r="D1032" i="1"/>
  <c r="H1032" i="1"/>
  <c r="K1032" i="1"/>
  <c r="L1032" i="1"/>
  <c r="M1032" i="1"/>
  <c r="N1032" i="1"/>
  <c r="C1033" i="1"/>
  <c r="D1033" i="1"/>
  <c r="H1033" i="1"/>
  <c r="K1033" i="1"/>
  <c r="L1033" i="1"/>
  <c r="M1033" i="1"/>
  <c r="N1033" i="1"/>
  <c r="C1034" i="1"/>
  <c r="D1034" i="1"/>
  <c r="H1034" i="1"/>
  <c r="K1034" i="1"/>
  <c r="L1034" i="1"/>
  <c r="M1034" i="1"/>
  <c r="N1034" i="1"/>
  <c r="C1035" i="1"/>
  <c r="D1035" i="1"/>
  <c r="H1035" i="1"/>
  <c r="K1035" i="1"/>
  <c r="L1035" i="1"/>
  <c r="M1035" i="1"/>
  <c r="N1035" i="1"/>
  <c r="C1036" i="1"/>
  <c r="D1036" i="1"/>
  <c r="H1036" i="1"/>
  <c r="K1036" i="1"/>
  <c r="L1036" i="1"/>
  <c r="M1036" i="1"/>
  <c r="N1036" i="1"/>
  <c r="C1037" i="1"/>
  <c r="D1037" i="1"/>
  <c r="H1037" i="1"/>
  <c r="K1037" i="1"/>
  <c r="L1037" i="1"/>
  <c r="M1037" i="1"/>
  <c r="N1037" i="1"/>
  <c r="C1038" i="1"/>
  <c r="D1038" i="1"/>
  <c r="H1038" i="1"/>
  <c r="K1038" i="1"/>
  <c r="L1038" i="1"/>
  <c r="M1038" i="1"/>
  <c r="N1038" i="1"/>
  <c r="C1039" i="1"/>
  <c r="D1039" i="1"/>
  <c r="K1039" i="1"/>
  <c r="C1040" i="1"/>
  <c r="D1040" i="1"/>
  <c r="H1040" i="1"/>
  <c r="K1040" i="1"/>
  <c r="L1040" i="1"/>
  <c r="M1040" i="1"/>
  <c r="N1040" i="1"/>
  <c r="C1041" i="1"/>
  <c r="D1041" i="1"/>
  <c r="H1041" i="1"/>
  <c r="K1041" i="1"/>
  <c r="L1041" i="1"/>
  <c r="M1041" i="1"/>
  <c r="N1041" i="1"/>
  <c r="C1042" i="1"/>
  <c r="D1042" i="1"/>
  <c r="H1042" i="1"/>
  <c r="K1042" i="1"/>
  <c r="L1042" i="1"/>
  <c r="M1042" i="1"/>
  <c r="N1042" i="1"/>
  <c r="C1043" i="1"/>
  <c r="D1043" i="1"/>
  <c r="H1043" i="1"/>
  <c r="K1043" i="1"/>
  <c r="L1043" i="1"/>
  <c r="M1043" i="1"/>
  <c r="N1043" i="1"/>
  <c r="C1044" i="1"/>
  <c r="D1044" i="1"/>
  <c r="H1044" i="1"/>
  <c r="K1044" i="1"/>
  <c r="L1044" i="1"/>
  <c r="M1044" i="1"/>
  <c r="N1044" i="1"/>
  <c r="C1045" i="1"/>
  <c r="D1045" i="1"/>
  <c r="H1045" i="1"/>
  <c r="K1045" i="1"/>
  <c r="L1045" i="1"/>
  <c r="M1045" i="1"/>
  <c r="N1045" i="1"/>
  <c r="C1046" i="1"/>
  <c r="D1046" i="1"/>
  <c r="H1046" i="1"/>
  <c r="K1046" i="1"/>
  <c r="L1046" i="1"/>
  <c r="M1046" i="1"/>
  <c r="N1046" i="1"/>
  <c r="C1047" i="1"/>
  <c r="D1047" i="1"/>
  <c r="H1047" i="1"/>
  <c r="K1047" i="1"/>
  <c r="L1047" i="1"/>
  <c r="M1047" i="1"/>
  <c r="N1047" i="1"/>
  <c r="C1048" i="1"/>
  <c r="D1048" i="1"/>
  <c r="H1048" i="1"/>
  <c r="K1048" i="1"/>
  <c r="L1048" i="1"/>
  <c r="M1048" i="1"/>
  <c r="N1048" i="1"/>
  <c r="C1049" i="1"/>
  <c r="D1049" i="1"/>
  <c r="H1049" i="1"/>
  <c r="K1049" i="1"/>
  <c r="L1049" i="1"/>
  <c r="M1049" i="1"/>
  <c r="N1049" i="1"/>
  <c r="C1050" i="1"/>
  <c r="D1050" i="1"/>
  <c r="H1050" i="1"/>
  <c r="K1050" i="1"/>
  <c r="L1050" i="1"/>
  <c r="M1050" i="1"/>
  <c r="N1050" i="1"/>
  <c r="C1051" i="1"/>
  <c r="D1051" i="1"/>
  <c r="H1051" i="1"/>
  <c r="K1051" i="1"/>
  <c r="L1051" i="1"/>
  <c r="M1051" i="1"/>
  <c r="N1051" i="1"/>
  <c r="C1052" i="1"/>
  <c r="D1052" i="1"/>
  <c r="H1052" i="1"/>
  <c r="K1052" i="1"/>
  <c r="L1052" i="1"/>
  <c r="M1052" i="1"/>
  <c r="N1052" i="1"/>
  <c r="C1053" i="1"/>
  <c r="D1053" i="1"/>
  <c r="H1053" i="1"/>
  <c r="K1053" i="1"/>
  <c r="L1053" i="1"/>
  <c r="M1053" i="1"/>
  <c r="N1053" i="1"/>
  <c r="C1054" i="1"/>
  <c r="D1054" i="1"/>
  <c r="H1054" i="1"/>
  <c r="K1054" i="1"/>
  <c r="L1054" i="1"/>
  <c r="M1054" i="1"/>
  <c r="N1054" i="1"/>
  <c r="C1055" i="1"/>
  <c r="D1055" i="1"/>
  <c r="H1055" i="1"/>
  <c r="K1055" i="1"/>
  <c r="L1055" i="1"/>
  <c r="M1055" i="1"/>
  <c r="N1055" i="1"/>
  <c r="C1056" i="1"/>
  <c r="D1056" i="1"/>
  <c r="K1056" i="1"/>
  <c r="C1057" i="1"/>
  <c r="D1057" i="1"/>
  <c r="H1057" i="1"/>
  <c r="K1057" i="1"/>
  <c r="L1057" i="1"/>
  <c r="M1057" i="1"/>
  <c r="N1057" i="1"/>
  <c r="C1058" i="1"/>
  <c r="D1058" i="1"/>
  <c r="H1058" i="1"/>
  <c r="K1058" i="1"/>
  <c r="L1058" i="1"/>
  <c r="M1058" i="1"/>
  <c r="N1058" i="1"/>
  <c r="C1059" i="1"/>
  <c r="D1059" i="1"/>
  <c r="H1059" i="1"/>
  <c r="K1059" i="1"/>
  <c r="L1059" i="1"/>
  <c r="M1059" i="1"/>
  <c r="N1059" i="1"/>
  <c r="C1060" i="1"/>
  <c r="D1060" i="1"/>
  <c r="H1060" i="1"/>
  <c r="K1060" i="1"/>
  <c r="L1060" i="1"/>
  <c r="M1060" i="1"/>
  <c r="N1060" i="1"/>
  <c r="C1061" i="1"/>
  <c r="D1061" i="1"/>
  <c r="H1061" i="1"/>
  <c r="K1061" i="1"/>
  <c r="L1061" i="1"/>
  <c r="M1061" i="1"/>
  <c r="N1061" i="1"/>
  <c r="C1062" i="1"/>
  <c r="D1062" i="1"/>
  <c r="H1062" i="1"/>
  <c r="K1062" i="1"/>
  <c r="L1062" i="1"/>
  <c r="M1062" i="1"/>
  <c r="N1062" i="1"/>
  <c r="C1063" i="1"/>
  <c r="D1063" i="1"/>
  <c r="H1063" i="1"/>
  <c r="K1063" i="1"/>
  <c r="L1063" i="1"/>
  <c r="M1063" i="1"/>
  <c r="N1063" i="1"/>
  <c r="C1064" i="1"/>
  <c r="D1064" i="1"/>
  <c r="H1064" i="1"/>
  <c r="K1064" i="1"/>
  <c r="L1064" i="1"/>
  <c r="M1064" i="1"/>
  <c r="N1064" i="1"/>
  <c r="C1065" i="1"/>
  <c r="D1065" i="1"/>
  <c r="H1065" i="1"/>
  <c r="K1065" i="1"/>
  <c r="L1065" i="1"/>
  <c r="M1065" i="1"/>
  <c r="N1065" i="1"/>
  <c r="C1066" i="1"/>
  <c r="D1066" i="1"/>
  <c r="H1066" i="1"/>
  <c r="K1066" i="1"/>
  <c r="L1066" i="1"/>
  <c r="M1066" i="1"/>
  <c r="N1066" i="1"/>
  <c r="C1067" i="1"/>
  <c r="D1067" i="1"/>
  <c r="H1067" i="1"/>
  <c r="K1067" i="1"/>
  <c r="L1067" i="1"/>
  <c r="M1067" i="1"/>
  <c r="N1067" i="1"/>
  <c r="C1068" i="1"/>
  <c r="D1068" i="1"/>
  <c r="H1068" i="1"/>
  <c r="K1068" i="1"/>
  <c r="L1068" i="1"/>
  <c r="M1068" i="1"/>
  <c r="N1068" i="1"/>
  <c r="C1069" i="1"/>
  <c r="D1069" i="1"/>
  <c r="H1069" i="1"/>
  <c r="K1069" i="1"/>
  <c r="L1069" i="1"/>
  <c r="M1069" i="1"/>
  <c r="N1069" i="1"/>
  <c r="C1070" i="1"/>
  <c r="D1070" i="1"/>
  <c r="H1070" i="1"/>
  <c r="K1070" i="1"/>
  <c r="L1070" i="1"/>
  <c r="M1070" i="1"/>
  <c r="N1070" i="1"/>
  <c r="C1071" i="1"/>
  <c r="D1071" i="1"/>
  <c r="H1071" i="1"/>
  <c r="K1071" i="1"/>
  <c r="L1071" i="1"/>
  <c r="M1071" i="1"/>
  <c r="N1071" i="1"/>
  <c r="C1072" i="1"/>
  <c r="D1072" i="1"/>
  <c r="H1072" i="1"/>
  <c r="K1072" i="1"/>
  <c r="L1072" i="1"/>
  <c r="M1072" i="1"/>
  <c r="N1072" i="1"/>
  <c r="C1073" i="1"/>
  <c r="D1073" i="1"/>
  <c r="H1073" i="1"/>
  <c r="K1073" i="1"/>
  <c r="L1073" i="1"/>
  <c r="M1073" i="1"/>
  <c r="N1073" i="1"/>
  <c r="C1074" i="1"/>
  <c r="D1074" i="1"/>
  <c r="H1074" i="1"/>
  <c r="K1074" i="1"/>
  <c r="L1074" i="1"/>
  <c r="M1074" i="1"/>
  <c r="N1074" i="1"/>
  <c r="C1075" i="1"/>
  <c r="D1075" i="1"/>
  <c r="H1075" i="1"/>
  <c r="K1075" i="1"/>
  <c r="L1075" i="1"/>
  <c r="M1075" i="1"/>
  <c r="N1075" i="1"/>
  <c r="C1076" i="1"/>
  <c r="D1076" i="1"/>
  <c r="H1076" i="1"/>
  <c r="K1076" i="1"/>
  <c r="L1076" i="1"/>
  <c r="M1076" i="1"/>
  <c r="N1076" i="1"/>
  <c r="C1077" i="1"/>
  <c r="D1077" i="1"/>
  <c r="K1077" i="1"/>
  <c r="C1078" i="1"/>
  <c r="D1078" i="1"/>
  <c r="H1078" i="1"/>
  <c r="K1078" i="1"/>
  <c r="L1078" i="1"/>
  <c r="M1078" i="1"/>
  <c r="N1078" i="1"/>
  <c r="C1079" i="1"/>
  <c r="D1079" i="1"/>
  <c r="H1079" i="1"/>
  <c r="K1079" i="1"/>
  <c r="L1079" i="1"/>
  <c r="M1079" i="1"/>
  <c r="N1079" i="1"/>
  <c r="C1080" i="1"/>
  <c r="D1080" i="1"/>
  <c r="H1080" i="1"/>
  <c r="K1080" i="1"/>
  <c r="L1080" i="1"/>
  <c r="M1080" i="1"/>
  <c r="N1080" i="1"/>
  <c r="C1081" i="1"/>
  <c r="D1081" i="1"/>
  <c r="H1081" i="1"/>
  <c r="K1081" i="1"/>
  <c r="L1081" i="1"/>
  <c r="M1081" i="1"/>
  <c r="N1081" i="1"/>
  <c r="C1082" i="1"/>
  <c r="D1082" i="1"/>
  <c r="H1082" i="1"/>
  <c r="K1082" i="1"/>
  <c r="L1082" i="1"/>
  <c r="M1082" i="1"/>
  <c r="N1082" i="1"/>
  <c r="C1083" i="1"/>
  <c r="D1083" i="1"/>
  <c r="H1083" i="1"/>
  <c r="K1083" i="1"/>
  <c r="L1083" i="1"/>
  <c r="M1083" i="1"/>
  <c r="N1083" i="1"/>
  <c r="C1084" i="1"/>
  <c r="D1084" i="1"/>
  <c r="H1084" i="1"/>
  <c r="K1084" i="1"/>
  <c r="L1084" i="1"/>
  <c r="M1084" i="1"/>
  <c r="N1084" i="1"/>
  <c r="C1085" i="1"/>
  <c r="D1085" i="1"/>
  <c r="H1085" i="1"/>
  <c r="K1085" i="1"/>
  <c r="L1085" i="1"/>
  <c r="M1085" i="1"/>
  <c r="N1085" i="1"/>
  <c r="C1086" i="1"/>
  <c r="D1086" i="1"/>
  <c r="H1086" i="1"/>
  <c r="K1086" i="1"/>
  <c r="L1086" i="1"/>
  <c r="M1086" i="1"/>
  <c r="N1086" i="1"/>
  <c r="C1087" i="1"/>
  <c r="D1087" i="1"/>
  <c r="H1087" i="1"/>
  <c r="K1087" i="1"/>
  <c r="L1087" i="1"/>
  <c r="M1087" i="1"/>
  <c r="N1087" i="1"/>
  <c r="C1088" i="1"/>
  <c r="D1088" i="1"/>
  <c r="H1088" i="1"/>
  <c r="K1088" i="1"/>
  <c r="L1088" i="1"/>
  <c r="M1088" i="1"/>
  <c r="N1088" i="1"/>
  <c r="C1089" i="1"/>
  <c r="D1089" i="1"/>
  <c r="H1089" i="1"/>
  <c r="K1089" i="1"/>
  <c r="L1089" i="1"/>
  <c r="M1089" i="1"/>
  <c r="N1089" i="1"/>
  <c r="C1090" i="1"/>
  <c r="D1090" i="1"/>
  <c r="H1090" i="1"/>
  <c r="K1090" i="1"/>
  <c r="L1090" i="1"/>
  <c r="M1090" i="1"/>
  <c r="N1090" i="1"/>
  <c r="C1091" i="1"/>
  <c r="D1091" i="1"/>
  <c r="K1091" i="1"/>
  <c r="C1092" i="1"/>
  <c r="D1092" i="1"/>
  <c r="H1092" i="1"/>
  <c r="K1092" i="1"/>
  <c r="L1092" i="1"/>
  <c r="M1092" i="1"/>
  <c r="N1092" i="1"/>
  <c r="C1093" i="1"/>
  <c r="D1093" i="1"/>
  <c r="H1093" i="1"/>
  <c r="K1093" i="1"/>
  <c r="L1093" i="1"/>
  <c r="M1093" i="1"/>
  <c r="N1093" i="1"/>
  <c r="C1094" i="1"/>
  <c r="D1094" i="1"/>
  <c r="H1094" i="1"/>
  <c r="K1094" i="1"/>
  <c r="L1094" i="1"/>
  <c r="M1094" i="1"/>
  <c r="N1094" i="1"/>
  <c r="C1095" i="1"/>
  <c r="D1095" i="1"/>
  <c r="H1095" i="1"/>
  <c r="K1095" i="1"/>
  <c r="L1095" i="1"/>
  <c r="M1095" i="1"/>
  <c r="N1095" i="1"/>
  <c r="C1096" i="1"/>
  <c r="D1096" i="1"/>
  <c r="H1096" i="1"/>
  <c r="K1096" i="1"/>
  <c r="L1096" i="1"/>
  <c r="M1096" i="1"/>
  <c r="N1096" i="1"/>
  <c r="C1097" i="1"/>
  <c r="D1097" i="1"/>
  <c r="H1097" i="1"/>
  <c r="K1097" i="1"/>
  <c r="L1097" i="1"/>
  <c r="M1097" i="1"/>
  <c r="N1097" i="1"/>
  <c r="C1098" i="1"/>
  <c r="D1098" i="1"/>
  <c r="H1098" i="1"/>
  <c r="K1098" i="1"/>
  <c r="L1098" i="1"/>
  <c r="M1098" i="1"/>
  <c r="N1098" i="1"/>
  <c r="C1099" i="1"/>
  <c r="D1099" i="1"/>
  <c r="H1099" i="1"/>
  <c r="K1099" i="1"/>
  <c r="L1099" i="1"/>
  <c r="M1099" i="1"/>
  <c r="N1099" i="1"/>
  <c r="C1100" i="1"/>
  <c r="D1100" i="1"/>
  <c r="H1100" i="1"/>
  <c r="K1100" i="1"/>
  <c r="L1100" i="1"/>
  <c r="M1100" i="1"/>
  <c r="N1100" i="1"/>
  <c r="C1101" i="1"/>
  <c r="D1101" i="1"/>
  <c r="H1101" i="1"/>
  <c r="K1101" i="1"/>
  <c r="L1101" i="1"/>
  <c r="M1101" i="1"/>
  <c r="N1101" i="1"/>
  <c r="C1102" i="1"/>
  <c r="D1102" i="1"/>
  <c r="H1102" i="1"/>
  <c r="K1102" i="1"/>
  <c r="L1102" i="1"/>
  <c r="M1102" i="1"/>
  <c r="N1102" i="1"/>
  <c r="C1103" i="1"/>
  <c r="D1103" i="1"/>
  <c r="H1103" i="1"/>
  <c r="K1103" i="1"/>
  <c r="L1103" i="1"/>
  <c r="M1103" i="1"/>
  <c r="N1103" i="1"/>
  <c r="C1104" i="1"/>
  <c r="D1104" i="1"/>
  <c r="H1104" i="1"/>
  <c r="K1104" i="1"/>
  <c r="L1104" i="1"/>
  <c r="M1104" i="1"/>
  <c r="N1104" i="1"/>
  <c r="C1105" i="1"/>
  <c r="D1105" i="1"/>
  <c r="H1105" i="1"/>
  <c r="K1105" i="1"/>
  <c r="L1105" i="1"/>
  <c r="M1105" i="1"/>
  <c r="N1105" i="1"/>
  <c r="C1106" i="1"/>
  <c r="D1106" i="1"/>
  <c r="H1106" i="1"/>
  <c r="K1106" i="1"/>
  <c r="L1106" i="1"/>
  <c r="M1106" i="1"/>
  <c r="N1106" i="1"/>
  <c r="C1107" i="1"/>
  <c r="D1107" i="1"/>
  <c r="H1107" i="1"/>
  <c r="K1107" i="1"/>
  <c r="L1107" i="1"/>
  <c r="M1107" i="1"/>
  <c r="N1107" i="1"/>
  <c r="C1108" i="1"/>
  <c r="D1108" i="1"/>
  <c r="H1108" i="1"/>
  <c r="K1108" i="1"/>
  <c r="L1108" i="1"/>
  <c r="M1108" i="1"/>
  <c r="N1108" i="1"/>
  <c r="C1109" i="1"/>
  <c r="D1109" i="1"/>
  <c r="H1109" i="1"/>
  <c r="K1109" i="1"/>
  <c r="L1109" i="1"/>
  <c r="M1109" i="1"/>
  <c r="N1109" i="1"/>
  <c r="C1110" i="1"/>
  <c r="D1110" i="1"/>
  <c r="H1110" i="1"/>
  <c r="K1110" i="1"/>
  <c r="L1110" i="1"/>
  <c r="M1110" i="1"/>
  <c r="N1110" i="1"/>
  <c r="C1111" i="1"/>
  <c r="D1111" i="1"/>
  <c r="H1111" i="1"/>
  <c r="K1111" i="1"/>
  <c r="L1111" i="1"/>
  <c r="M1111" i="1"/>
  <c r="N1111" i="1"/>
  <c r="C1112" i="1"/>
  <c r="D1112" i="1"/>
  <c r="H1112" i="1"/>
  <c r="K1112" i="1"/>
  <c r="L1112" i="1"/>
  <c r="M1112" i="1"/>
  <c r="N1112" i="1"/>
  <c r="C1113" i="1"/>
  <c r="D1113" i="1"/>
  <c r="H1113" i="1"/>
  <c r="K1113" i="1"/>
  <c r="L1113" i="1"/>
  <c r="M1113" i="1"/>
  <c r="N1113" i="1"/>
  <c r="C1114" i="1"/>
  <c r="D1114" i="1"/>
  <c r="H1114" i="1"/>
  <c r="K1114" i="1"/>
  <c r="L1114" i="1"/>
  <c r="M1114" i="1"/>
  <c r="N1114" i="1"/>
  <c r="C1115" i="1"/>
  <c r="D1115" i="1"/>
  <c r="H1115" i="1"/>
  <c r="K1115" i="1"/>
  <c r="L1115" i="1"/>
  <c r="M1115" i="1"/>
  <c r="N1115" i="1"/>
  <c r="C1116" i="1"/>
  <c r="D1116" i="1"/>
  <c r="H1116" i="1"/>
  <c r="K1116" i="1"/>
  <c r="L1116" i="1"/>
  <c r="M1116" i="1"/>
  <c r="N1116" i="1"/>
  <c r="C1117" i="1"/>
  <c r="D1117" i="1"/>
  <c r="H1117" i="1"/>
  <c r="K1117" i="1"/>
  <c r="L1117" i="1"/>
  <c r="M1117" i="1"/>
  <c r="N1117" i="1"/>
  <c r="C1118" i="1"/>
  <c r="D1118" i="1"/>
  <c r="H1118" i="1"/>
  <c r="K1118" i="1"/>
  <c r="L1118" i="1"/>
  <c r="M1118" i="1"/>
  <c r="N1118" i="1"/>
  <c r="C1119" i="1"/>
  <c r="D1119" i="1"/>
  <c r="H1119" i="1"/>
  <c r="K1119" i="1"/>
  <c r="L1119" i="1"/>
  <c r="M1119" i="1"/>
  <c r="N1119" i="1"/>
  <c r="C1120" i="1"/>
  <c r="D1120" i="1"/>
  <c r="H1120" i="1"/>
  <c r="K1120" i="1"/>
  <c r="L1120" i="1"/>
  <c r="M1120" i="1"/>
  <c r="N1120" i="1"/>
  <c r="C1121" i="1"/>
  <c r="D1121" i="1"/>
  <c r="H1121" i="1"/>
  <c r="K1121" i="1"/>
  <c r="L1121" i="1"/>
  <c r="M1121" i="1"/>
  <c r="N1121" i="1"/>
  <c r="C1122" i="1"/>
  <c r="D1122" i="1"/>
  <c r="H1122" i="1"/>
  <c r="K1122" i="1"/>
  <c r="L1122" i="1"/>
  <c r="M1122" i="1"/>
  <c r="N1122" i="1"/>
  <c r="C1123" i="1"/>
  <c r="D1123" i="1"/>
  <c r="K1123" i="1"/>
  <c r="L1123" i="1"/>
  <c r="M1123" i="1"/>
  <c r="N1123" i="1"/>
  <c r="C1124" i="1"/>
  <c r="D1124" i="1"/>
  <c r="H1124" i="1"/>
  <c r="K1124" i="1"/>
  <c r="L1124" i="1"/>
  <c r="M1124" i="1"/>
  <c r="N1124" i="1"/>
  <c r="C1125" i="1"/>
  <c r="D1125" i="1"/>
  <c r="H1125" i="1"/>
  <c r="K1125" i="1"/>
  <c r="L1125" i="1"/>
  <c r="M1125" i="1"/>
  <c r="N1125" i="1"/>
  <c r="C1126" i="1"/>
  <c r="D1126" i="1"/>
  <c r="H1126" i="1"/>
  <c r="K1126" i="1"/>
  <c r="L1126" i="1"/>
  <c r="M1126" i="1"/>
  <c r="N1126" i="1"/>
  <c r="C1127" i="1"/>
  <c r="D1127" i="1"/>
  <c r="H1127" i="1"/>
  <c r="K1127" i="1"/>
  <c r="L1127" i="1"/>
  <c r="M1127" i="1"/>
  <c r="N1127" i="1"/>
  <c r="C1128" i="1"/>
  <c r="D1128" i="1"/>
  <c r="H1128" i="1"/>
  <c r="K1128" i="1"/>
  <c r="L1128" i="1"/>
  <c r="M1128" i="1"/>
  <c r="N1128" i="1"/>
  <c r="C1129" i="1"/>
  <c r="D1129" i="1"/>
  <c r="H1129" i="1"/>
  <c r="K1129" i="1"/>
  <c r="L1129" i="1"/>
  <c r="M1129" i="1"/>
  <c r="N1129" i="1"/>
  <c r="C1130" i="1"/>
  <c r="D1130" i="1"/>
  <c r="H1130" i="1"/>
  <c r="K1130" i="1"/>
  <c r="L1130" i="1"/>
  <c r="M1130" i="1"/>
  <c r="N1130" i="1"/>
  <c r="C1131" i="1"/>
  <c r="D1131" i="1"/>
  <c r="H1131" i="1"/>
  <c r="K1131" i="1"/>
  <c r="L1131" i="1"/>
  <c r="M1131" i="1"/>
  <c r="N1131" i="1"/>
  <c r="C1132" i="1"/>
  <c r="D1132" i="1"/>
  <c r="H1132" i="1"/>
  <c r="K1132" i="1"/>
  <c r="L1132" i="1"/>
  <c r="M1132" i="1"/>
  <c r="N1132" i="1"/>
  <c r="C1133" i="1"/>
  <c r="D1133" i="1"/>
  <c r="H1133" i="1"/>
  <c r="K1133" i="1"/>
  <c r="L1133" i="1"/>
  <c r="M1133" i="1"/>
  <c r="N1133" i="1"/>
  <c r="C1134" i="1"/>
  <c r="D1134" i="1"/>
  <c r="H1134" i="1"/>
  <c r="K1134" i="1"/>
  <c r="L1134" i="1"/>
  <c r="M1134" i="1"/>
  <c r="N1134" i="1"/>
  <c r="C1135" i="1"/>
  <c r="D1135" i="1"/>
  <c r="H1135" i="1"/>
  <c r="K1135" i="1"/>
  <c r="L1135" i="1"/>
  <c r="M1135" i="1"/>
  <c r="N1135" i="1"/>
  <c r="C1136" i="1"/>
  <c r="D1136" i="1"/>
  <c r="H1136" i="1"/>
  <c r="K1136" i="1"/>
  <c r="L1136" i="1"/>
  <c r="M1136" i="1"/>
  <c r="N1136" i="1"/>
  <c r="C1137" i="1"/>
  <c r="D1137" i="1"/>
  <c r="H1137" i="1"/>
  <c r="K1137" i="1"/>
  <c r="L1137" i="1"/>
  <c r="M1137" i="1"/>
  <c r="N1137" i="1"/>
  <c r="C1138" i="1"/>
  <c r="D1138" i="1"/>
  <c r="H1138" i="1"/>
  <c r="K1138" i="1"/>
  <c r="L1138" i="1"/>
  <c r="M1138" i="1"/>
  <c r="N1138" i="1"/>
  <c r="C1139" i="1"/>
  <c r="D1139" i="1"/>
  <c r="H1139" i="1"/>
  <c r="K1139" i="1"/>
  <c r="L1139" i="1"/>
  <c r="M1139" i="1"/>
  <c r="N1139" i="1"/>
  <c r="C1140" i="1"/>
  <c r="D1140" i="1"/>
  <c r="H1140" i="1"/>
  <c r="K1140" i="1"/>
  <c r="L1140" i="1"/>
  <c r="M1140" i="1"/>
  <c r="N1140" i="1"/>
  <c r="C1141" i="1"/>
  <c r="D1141" i="1"/>
  <c r="H1141" i="1"/>
  <c r="K1141" i="1"/>
  <c r="L1141" i="1"/>
  <c r="M1141" i="1"/>
  <c r="N1141" i="1"/>
  <c r="C1142" i="1"/>
  <c r="D1142" i="1"/>
  <c r="H1142" i="1"/>
  <c r="K1142" i="1"/>
  <c r="L1142" i="1"/>
  <c r="M1142" i="1"/>
  <c r="N1142" i="1"/>
  <c r="C1143" i="1"/>
  <c r="D1143" i="1"/>
  <c r="H1143" i="1"/>
  <c r="K1143" i="1"/>
  <c r="L1143" i="1"/>
  <c r="M1143" i="1"/>
  <c r="N1143" i="1"/>
  <c r="C1144" i="1"/>
  <c r="D1144" i="1"/>
  <c r="H1144" i="1"/>
  <c r="K1144" i="1"/>
  <c r="L1144" i="1"/>
  <c r="M1144" i="1"/>
  <c r="N1144" i="1"/>
  <c r="C1145" i="1"/>
  <c r="D1145" i="1"/>
  <c r="H1145" i="1"/>
  <c r="K1145" i="1"/>
  <c r="L1145" i="1"/>
  <c r="M1145" i="1"/>
  <c r="N1145" i="1"/>
  <c r="C1146" i="1"/>
  <c r="D1146" i="1"/>
  <c r="H1146" i="1"/>
  <c r="K1146" i="1"/>
  <c r="L1146" i="1"/>
  <c r="M1146" i="1"/>
  <c r="N1146" i="1"/>
  <c r="C1147" i="1"/>
  <c r="D1147" i="1"/>
  <c r="H1147" i="1"/>
  <c r="K1147" i="1"/>
  <c r="L1147" i="1"/>
  <c r="M1147" i="1"/>
  <c r="N1147" i="1"/>
  <c r="C1148" i="1"/>
  <c r="D1148" i="1"/>
  <c r="H1148" i="1"/>
  <c r="K1148" i="1"/>
  <c r="L1148" i="1"/>
  <c r="M1148" i="1"/>
  <c r="N1148" i="1"/>
  <c r="C1149" i="1"/>
  <c r="D1149" i="1"/>
  <c r="H1149" i="1"/>
  <c r="K1149" i="1"/>
  <c r="L1149" i="1"/>
  <c r="M1149" i="1"/>
  <c r="N1149" i="1"/>
  <c r="C1150" i="1"/>
  <c r="D1150" i="1"/>
  <c r="H1150" i="1"/>
  <c r="K1150" i="1"/>
  <c r="L1150" i="1"/>
  <c r="M1150" i="1"/>
  <c r="N1150" i="1"/>
  <c r="C1151" i="1"/>
  <c r="D1151" i="1"/>
  <c r="H1151" i="1"/>
  <c r="K1151" i="1"/>
  <c r="L1151" i="1"/>
  <c r="M1151" i="1"/>
  <c r="N1151" i="1"/>
  <c r="C1152" i="1"/>
  <c r="D1152" i="1"/>
  <c r="K1152" i="1"/>
  <c r="C1153" i="1"/>
  <c r="D1153" i="1"/>
  <c r="H1153" i="1"/>
  <c r="K1153" i="1"/>
  <c r="L1153" i="1"/>
  <c r="M1153" i="1"/>
  <c r="N1153" i="1"/>
  <c r="C1154" i="1"/>
  <c r="D1154" i="1"/>
  <c r="H1154" i="1"/>
  <c r="K1154" i="1"/>
  <c r="L1154" i="1"/>
  <c r="M1154" i="1"/>
  <c r="N1154" i="1"/>
  <c r="C1155" i="1"/>
  <c r="D1155" i="1"/>
  <c r="K1155" i="1"/>
  <c r="C1156" i="1"/>
  <c r="D1156" i="1"/>
  <c r="K1156" i="1"/>
  <c r="C1157" i="1"/>
  <c r="D1157" i="1"/>
  <c r="K1157" i="1"/>
  <c r="C1158" i="1"/>
  <c r="D1158" i="1"/>
  <c r="H1158" i="1"/>
  <c r="K1158" i="1"/>
  <c r="L1158" i="1"/>
  <c r="M1158" i="1"/>
  <c r="N1158" i="1"/>
  <c r="C1159" i="1"/>
  <c r="D1159" i="1"/>
  <c r="H1159" i="1"/>
  <c r="K1159" i="1"/>
  <c r="L1159" i="1"/>
  <c r="M1159" i="1"/>
  <c r="N1159" i="1"/>
  <c r="C1160" i="1"/>
  <c r="D1160" i="1"/>
  <c r="H1160" i="1"/>
  <c r="K1160" i="1"/>
  <c r="L1160" i="1"/>
  <c r="M1160" i="1"/>
  <c r="N1160" i="1"/>
  <c r="C1161" i="1"/>
  <c r="D1161" i="1"/>
  <c r="K1161" i="1"/>
  <c r="C1162" i="1"/>
  <c r="D1162" i="1"/>
  <c r="H1162" i="1"/>
  <c r="K1162" i="1"/>
  <c r="L1162" i="1"/>
  <c r="M1162" i="1"/>
  <c r="N1162" i="1"/>
  <c r="C1163" i="1"/>
  <c r="D1163" i="1"/>
  <c r="H1163" i="1"/>
  <c r="K1163" i="1"/>
  <c r="L1163" i="1"/>
  <c r="M1163" i="1"/>
  <c r="N1163" i="1"/>
  <c r="C1164" i="1"/>
  <c r="D1164" i="1"/>
  <c r="H1164" i="1"/>
  <c r="K1164" i="1"/>
  <c r="L1164" i="1"/>
  <c r="M1164" i="1"/>
  <c r="N1164" i="1"/>
  <c r="C1165" i="1"/>
  <c r="D1165" i="1"/>
  <c r="H1165" i="1"/>
  <c r="K1165" i="1"/>
  <c r="L1165" i="1"/>
  <c r="M1165" i="1"/>
  <c r="N1165" i="1"/>
  <c r="C1166" i="1"/>
  <c r="D1166" i="1"/>
  <c r="H1166" i="1"/>
  <c r="K1166" i="1"/>
  <c r="L1166" i="1"/>
  <c r="M1166" i="1"/>
  <c r="N1166" i="1"/>
  <c r="C1167" i="1"/>
  <c r="D1167" i="1"/>
  <c r="H1167" i="1"/>
  <c r="K1167" i="1"/>
  <c r="L1167" i="1"/>
  <c r="M1167" i="1"/>
  <c r="N1167" i="1"/>
  <c r="C1168" i="1"/>
  <c r="D1168" i="1"/>
  <c r="H1168" i="1"/>
  <c r="K1168" i="1"/>
  <c r="L1168" i="1"/>
  <c r="M1168" i="1"/>
  <c r="N1168" i="1"/>
  <c r="C1169" i="1"/>
  <c r="D1169" i="1"/>
  <c r="H1169" i="1"/>
  <c r="K1169" i="1"/>
  <c r="L1169" i="1"/>
  <c r="M1169" i="1"/>
  <c r="N1169" i="1"/>
  <c r="C1170" i="1"/>
  <c r="D1170" i="1"/>
  <c r="H1170" i="1"/>
  <c r="K1170" i="1"/>
  <c r="L1170" i="1"/>
  <c r="M1170" i="1"/>
  <c r="N1170" i="1"/>
  <c r="C1171" i="1"/>
  <c r="D1171" i="1"/>
  <c r="H1171" i="1"/>
  <c r="K1171" i="1"/>
  <c r="L1171" i="1"/>
  <c r="M1171" i="1"/>
  <c r="N1171" i="1"/>
  <c r="C1172" i="1"/>
  <c r="D1172" i="1"/>
  <c r="K1172" i="1"/>
  <c r="L1172" i="1"/>
  <c r="M1172" i="1"/>
  <c r="N1172" i="1"/>
  <c r="C1173" i="1"/>
  <c r="D1173" i="1"/>
  <c r="H1173" i="1"/>
  <c r="K1173" i="1"/>
  <c r="L1173" i="1"/>
  <c r="M1173" i="1"/>
  <c r="N1173" i="1"/>
  <c r="C1174" i="1"/>
  <c r="D1174" i="1"/>
  <c r="H1174" i="1"/>
  <c r="K1174" i="1"/>
  <c r="L1174" i="1"/>
  <c r="M1174" i="1"/>
  <c r="N1174" i="1"/>
  <c r="C1175" i="1"/>
  <c r="D1175" i="1"/>
  <c r="H1175" i="1"/>
  <c r="K1175" i="1"/>
  <c r="L1175" i="1"/>
  <c r="M1175" i="1"/>
  <c r="N1175" i="1"/>
  <c r="C1176" i="1"/>
  <c r="D1176" i="1"/>
  <c r="H1176" i="1"/>
  <c r="K1176" i="1"/>
  <c r="L1176" i="1"/>
  <c r="M1176" i="1"/>
  <c r="N1176" i="1"/>
  <c r="C1177" i="1"/>
  <c r="D1177" i="1"/>
  <c r="K1177" i="1"/>
  <c r="C1178" i="1"/>
  <c r="D1178" i="1"/>
  <c r="K1178" i="1"/>
  <c r="C1179" i="1"/>
  <c r="D1179" i="1"/>
  <c r="K1179" i="1"/>
  <c r="C1180" i="1"/>
  <c r="D1180" i="1"/>
  <c r="K1180" i="1"/>
  <c r="C1181" i="1"/>
  <c r="D1181" i="1"/>
  <c r="K1181" i="1"/>
  <c r="C1182" i="1"/>
  <c r="D1182" i="1"/>
  <c r="K1182" i="1"/>
  <c r="C1183" i="1"/>
  <c r="D1183" i="1"/>
  <c r="K1183" i="1"/>
  <c r="C1184" i="1"/>
  <c r="D1184" i="1"/>
  <c r="K1184" i="1"/>
  <c r="C1185" i="1"/>
  <c r="D1185" i="1"/>
  <c r="K1185" i="1"/>
  <c r="C1186" i="1"/>
  <c r="D1186" i="1"/>
  <c r="K1186" i="1"/>
  <c r="C1187" i="1"/>
  <c r="D1187" i="1"/>
  <c r="K1187" i="1"/>
  <c r="C1188" i="1"/>
  <c r="D1188" i="1"/>
  <c r="K1188" i="1"/>
  <c r="C1189" i="1"/>
  <c r="D1189" i="1"/>
  <c r="K1189" i="1"/>
  <c r="C1190" i="1"/>
  <c r="D1190" i="1"/>
  <c r="K1190" i="1"/>
  <c r="C1191" i="1"/>
  <c r="D1191" i="1"/>
  <c r="K1191" i="1"/>
  <c r="C1192" i="1"/>
  <c r="D1192" i="1"/>
  <c r="K1192" i="1"/>
  <c r="C1193" i="1"/>
  <c r="D1193" i="1"/>
  <c r="K1193" i="1"/>
  <c r="C1194" i="1"/>
  <c r="D1194" i="1"/>
  <c r="K1194" i="1"/>
  <c r="C1195" i="1"/>
  <c r="D1195" i="1"/>
  <c r="H1195" i="1"/>
  <c r="K1195" i="1"/>
  <c r="L1195" i="1"/>
  <c r="M1195" i="1"/>
  <c r="N1195" i="1"/>
  <c r="C1196" i="1"/>
  <c r="D1196" i="1"/>
  <c r="K1196" i="1"/>
  <c r="C1197" i="1"/>
  <c r="D1197" i="1"/>
  <c r="H1197" i="1"/>
  <c r="K1197" i="1"/>
  <c r="L1197" i="1"/>
  <c r="M1197" i="1"/>
  <c r="N1197" i="1"/>
  <c r="C1198" i="1"/>
  <c r="D1198" i="1"/>
  <c r="H1198" i="1"/>
  <c r="K1198" i="1"/>
  <c r="L1198" i="1"/>
  <c r="M1198" i="1"/>
  <c r="N1198" i="1"/>
  <c r="C1199" i="1"/>
  <c r="D1199" i="1"/>
  <c r="H1199" i="1"/>
  <c r="K1199" i="1"/>
  <c r="L1199" i="1"/>
  <c r="M1199" i="1"/>
  <c r="N1199" i="1"/>
  <c r="C1200" i="1"/>
  <c r="D1200" i="1"/>
  <c r="H1200" i="1"/>
  <c r="K1200" i="1"/>
  <c r="L1200" i="1"/>
  <c r="M1200" i="1"/>
  <c r="N1200" i="1"/>
  <c r="C1201" i="1"/>
  <c r="D1201" i="1"/>
  <c r="H1201" i="1"/>
  <c r="K1201" i="1"/>
  <c r="L1201" i="1"/>
  <c r="M1201" i="1"/>
  <c r="N1201" i="1"/>
  <c r="C1202" i="1"/>
  <c r="D1202" i="1"/>
  <c r="H1202" i="1"/>
  <c r="K1202" i="1"/>
  <c r="L1202" i="1"/>
  <c r="M1202" i="1"/>
  <c r="N1202" i="1"/>
  <c r="C1203" i="1"/>
  <c r="D1203" i="1"/>
  <c r="H1203" i="1"/>
  <c r="K1203" i="1"/>
  <c r="L1203" i="1"/>
  <c r="M1203" i="1"/>
  <c r="N1203" i="1"/>
  <c r="C1204" i="1"/>
  <c r="D1204" i="1"/>
  <c r="H1204" i="1"/>
  <c r="K1204" i="1"/>
  <c r="L1204" i="1"/>
  <c r="M1204" i="1"/>
  <c r="N1204" i="1"/>
  <c r="C1205" i="1"/>
  <c r="D1205" i="1"/>
  <c r="H1205" i="1"/>
  <c r="K1205" i="1"/>
  <c r="L1205" i="1"/>
  <c r="M1205" i="1"/>
  <c r="N1205" i="1"/>
  <c r="C1206" i="1"/>
  <c r="D1206" i="1"/>
  <c r="H1206" i="1"/>
  <c r="K1206" i="1"/>
  <c r="L1206" i="1"/>
  <c r="M1206" i="1"/>
  <c r="N1206" i="1"/>
  <c r="C1207" i="1"/>
  <c r="D1207" i="1"/>
  <c r="H1207" i="1"/>
  <c r="K1207" i="1"/>
  <c r="L1207" i="1"/>
  <c r="M1207" i="1"/>
  <c r="N1207" i="1"/>
  <c r="C1208" i="1"/>
  <c r="D1208" i="1"/>
  <c r="H1208" i="1"/>
  <c r="K1208" i="1"/>
  <c r="L1208" i="1"/>
  <c r="M1208" i="1"/>
  <c r="N1208" i="1"/>
  <c r="C1209" i="1"/>
  <c r="D1209" i="1"/>
  <c r="H1209" i="1"/>
  <c r="K1209" i="1"/>
  <c r="L1209" i="1"/>
  <c r="M1209" i="1"/>
  <c r="N1209" i="1"/>
  <c r="C1210" i="1"/>
  <c r="D1210" i="1"/>
  <c r="H1210" i="1"/>
  <c r="K1210" i="1"/>
  <c r="L1210" i="1"/>
  <c r="M1210" i="1"/>
  <c r="N1210" i="1"/>
  <c r="C1211" i="1"/>
  <c r="D1211" i="1"/>
  <c r="H1211" i="1"/>
  <c r="K1211" i="1"/>
  <c r="L1211" i="1"/>
  <c r="M1211" i="1"/>
  <c r="N1211" i="1"/>
  <c r="C1212" i="1"/>
  <c r="D1212" i="1"/>
  <c r="H1212" i="1"/>
  <c r="K1212" i="1"/>
  <c r="L1212" i="1"/>
  <c r="M1212" i="1"/>
  <c r="N1212" i="1"/>
  <c r="C1213" i="1"/>
  <c r="D1213" i="1"/>
  <c r="H1213" i="1"/>
  <c r="K1213" i="1"/>
  <c r="L1213" i="1"/>
  <c r="M1213" i="1"/>
  <c r="N1213" i="1"/>
  <c r="C1214" i="1"/>
  <c r="D1214" i="1"/>
  <c r="H1214" i="1"/>
  <c r="K1214" i="1"/>
  <c r="L1214" i="1"/>
  <c r="M1214" i="1"/>
  <c r="N1214" i="1"/>
  <c r="C1215" i="1"/>
  <c r="D1215" i="1"/>
  <c r="H1215" i="1"/>
  <c r="K1215" i="1"/>
  <c r="L1215" i="1"/>
  <c r="M1215" i="1"/>
  <c r="N1215" i="1"/>
  <c r="C1216" i="1"/>
  <c r="D1216" i="1"/>
  <c r="H1216" i="1"/>
  <c r="K1216" i="1"/>
  <c r="L1216" i="1"/>
  <c r="M1216" i="1"/>
  <c r="N1216" i="1"/>
  <c r="C1217" i="1"/>
  <c r="D1217" i="1"/>
  <c r="K1217" i="1"/>
  <c r="C1218" i="1"/>
  <c r="D1218" i="1"/>
  <c r="H1218" i="1"/>
  <c r="K1218" i="1"/>
  <c r="L1218" i="1"/>
  <c r="M1218" i="1"/>
  <c r="N1218" i="1"/>
  <c r="C1219" i="1"/>
  <c r="D1219" i="1"/>
  <c r="H1219" i="1"/>
  <c r="K1219" i="1"/>
  <c r="L1219" i="1"/>
  <c r="M1219" i="1"/>
  <c r="N1219" i="1"/>
  <c r="C1220" i="1"/>
  <c r="D1220" i="1"/>
  <c r="H1220" i="1"/>
  <c r="K1220" i="1"/>
  <c r="L1220" i="1"/>
  <c r="M1220" i="1"/>
  <c r="N1220" i="1"/>
  <c r="C1221" i="1"/>
  <c r="D1221" i="1"/>
  <c r="H1221" i="1"/>
  <c r="K1221" i="1"/>
  <c r="L1221" i="1"/>
  <c r="M1221" i="1"/>
  <c r="N1221" i="1"/>
  <c r="C1222" i="1"/>
  <c r="D1222" i="1"/>
  <c r="K1222" i="1"/>
  <c r="C1223" i="1"/>
  <c r="D1223" i="1"/>
  <c r="K1223" i="1"/>
  <c r="C1224" i="1"/>
  <c r="D1224" i="1"/>
  <c r="K1224" i="1"/>
  <c r="C1225" i="1"/>
  <c r="D1225" i="1"/>
  <c r="K1225" i="1"/>
  <c r="C1226" i="1"/>
  <c r="D1226" i="1"/>
  <c r="K1226" i="1"/>
  <c r="C1227" i="1"/>
  <c r="D1227" i="1"/>
  <c r="H1227" i="1"/>
  <c r="K1227" i="1"/>
  <c r="L1227" i="1"/>
  <c r="M1227" i="1"/>
  <c r="N1227" i="1"/>
  <c r="C1228" i="1"/>
  <c r="D1228" i="1"/>
  <c r="H1228" i="1"/>
  <c r="K1228" i="1"/>
  <c r="L1228" i="1"/>
  <c r="M1228" i="1"/>
  <c r="N1228" i="1"/>
  <c r="C1229" i="1"/>
  <c r="D1229" i="1"/>
  <c r="K1229" i="1"/>
  <c r="C1230" i="1"/>
  <c r="D1230" i="1"/>
  <c r="K1230" i="1"/>
  <c r="C1231" i="1"/>
  <c r="D1231" i="1"/>
  <c r="H1231" i="1"/>
  <c r="K1231" i="1"/>
  <c r="L1231" i="1"/>
  <c r="M1231" i="1"/>
  <c r="N1231" i="1"/>
  <c r="C1232" i="1"/>
  <c r="D1232" i="1"/>
  <c r="H1232" i="1"/>
  <c r="K1232" i="1"/>
  <c r="L1232" i="1"/>
  <c r="M1232" i="1"/>
  <c r="N1232" i="1"/>
  <c r="C1233" i="1"/>
  <c r="D1233" i="1"/>
  <c r="H1233" i="1"/>
  <c r="K1233" i="1"/>
  <c r="L1233" i="1"/>
  <c r="M1233" i="1"/>
  <c r="N1233" i="1"/>
  <c r="C1234" i="1"/>
  <c r="D1234" i="1"/>
  <c r="K1234" i="1"/>
  <c r="C1235" i="1"/>
  <c r="D1235" i="1"/>
  <c r="H1235" i="1"/>
  <c r="K1235" i="1"/>
  <c r="L1235" i="1"/>
  <c r="M1235" i="1"/>
  <c r="N1235" i="1"/>
  <c r="C1236" i="1"/>
  <c r="D1236" i="1"/>
  <c r="K1236" i="1"/>
  <c r="C1237" i="1"/>
  <c r="D1237" i="1"/>
  <c r="K1237" i="1"/>
  <c r="C1238" i="1"/>
  <c r="D1238" i="1"/>
  <c r="H1238" i="1"/>
  <c r="K1238" i="1"/>
  <c r="L1238" i="1"/>
  <c r="M1238" i="1"/>
  <c r="N1238" i="1"/>
  <c r="C1239" i="1"/>
  <c r="D1239" i="1"/>
  <c r="H1239" i="1"/>
  <c r="K1239" i="1"/>
  <c r="L1239" i="1"/>
  <c r="M1239" i="1"/>
  <c r="N1239" i="1"/>
  <c r="C1240" i="1"/>
  <c r="D1240" i="1"/>
  <c r="K1240" i="1"/>
  <c r="C1241" i="1"/>
  <c r="D1241" i="1"/>
  <c r="K1241" i="1"/>
  <c r="C1242" i="1"/>
  <c r="D1242" i="1"/>
  <c r="K1242" i="1"/>
  <c r="C1243" i="1"/>
  <c r="D1243" i="1"/>
  <c r="K1243" i="1"/>
  <c r="C1244" i="1"/>
  <c r="D1244" i="1"/>
  <c r="K1244" i="1"/>
  <c r="C1245" i="1"/>
  <c r="D1245" i="1"/>
  <c r="K1245" i="1"/>
  <c r="C1246" i="1"/>
  <c r="D1246" i="1"/>
  <c r="K1246" i="1"/>
  <c r="C1247" i="1"/>
  <c r="D1247" i="1"/>
  <c r="K1247" i="1"/>
  <c r="C1248" i="1"/>
  <c r="D1248" i="1"/>
  <c r="H1248" i="1"/>
  <c r="K1248" i="1"/>
  <c r="L1248" i="1"/>
  <c r="M1248" i="1"/>
  <c r="N1248" i="1"/>
  <c r="C1249" i="1"/>
  <c r="D1249" i="1"/>
  <c r="H1249" i="1"/>
  <c r="K1249" i="1"/>
  <c r="L1249" i="1"/>
  <c r="M1249" i="1"/>
  <c r="N1249" i="1"/>
  <c r="C1250" i="1"/>
  <c r="D1250" i="1"/>
  <c r="H1250" i="1"/>
  <c r="K1250" i="1"/>
  <c r="L1250" i="1"/>
  <c r="M1250" i="1"/>
  <c r="N1250" i="1"/>
  <c r="C1251" i="1"/>
  <c r="D1251" i="1"/>
  <c r="H1251" i="1"/>
  <c r="K1251" i="1"/>
  <c r="L1251" i="1"/>
  <c r="M1251" i="1"/>
  <c r="N1251" i="1"/>
  <c r="C1252" i="1"/>
  <c r="D1252" i="1"/>
  <c r="K1252" i="1"/>
  <c r="C1253" i="1"/>
  <c r="D1253" i="1"/>
  <c r="H1253" i="1"/>
  <c r="K1253" i="1"/>
  <c r="L1253" i="1"/>
  <c r="M1253" i="1"/>
  <c r="N1253" i="1"/>
  <c r="C1254" i="1"/>
  <c r="D1254" i="1"/>
  <c r="H1254" i="1"/>
  <c r="K1254" i="1"/>
  <c r="L1254" i="1"/>
  <c r="M1254" i="1"/>
  <c r="N1254" i="1"/>
  <c r="C1255" i="1"/>
  <c r="D1255" i="1"/>
  <c r="H1255" i="1"/>
  <c r="K1255" i="1"/>
  <c r="L1255" i="1"/>
  <c r="M1255" i="1"/>
  <c r="N1255" i="1"/>
  <c r="C1256" i="1"/>
  <c r="D1256" i="1"/>
  <c r="H1256" i="1"/>
  <c r="K1256" i="1"/>
  <c r="L1256" i="1"/>
  <c r="M1256" i="1"/>
  <c r="N1256" i="1"/>
  <c r="C1257" i="1"/>
  <c r="D1257" i="1"/>
  <c r="H1257" i="1"/>
  <c r="K1257" i="1"/>
  <c r="L1257" i="1"/>
  <c r="M1257" i="1"/>
  <c r="N1257" i="1"/>
  <c r="C1258" i="1"/>
  <c r="D1258" i="1"/>
  <c r="H1258" i="1"/>
  <c r="K1258" i="1"/>
  <c r="L1258" i="1"/>
  <c r="M1258" i="1"/>
  <c r="N1258" i="1"/>
  <c r="C1259" i="1"/>
  <c r="D1259" i="1"/>
  <c r="K1259" i="1"/>
  <c r="C1260" i="1"/>
  <c r="D1260" i="1"/>
  <c r="K1260" i="1"/>
  <c r="C1261" i="1"/>
  <c r="D1261" i="1"/>
  <c r="H1261" i="1"/>
  <c r="K1261" i="1"/>
  <c r="L1261" i="1"/>
  <c r="M1261" i="1"/>
  <c r="N1261" i="1"/>
  <c r="C1262" i="1"/>
  <c r="D1262" i="1"/>
  <c r="H1262" i="1"/>
  <c r="K1262" i="1"/>
  <c r="L1262" i="1"/>
  <c r="M1262" i="1"/>
  <c r="N1262" i="1"/>
  <c r="C1263" i="1"/>
  <c r="D1263" i="1"/>
  <c r="K1263" i="1"/>
  <c r="C1264" i="1"/>
  <c r="D1264" i="1"/>
  <c r="K1264" i="1"/>
  <c r="C1265" i="1"/>
  <c r="D1265" i="1"/>
  <c r="H1265" i="1"/>
  <c r="K1265" i="1"/>
  <c r="L1265" i="1"/>
  <c r="M1265" i="1"/>
  <c r="N1265" i="1"/>
  <c r="C1266" i="1"/>
  <c r="D1266" i="1"/>
  <c r="K1266" i="1"/>
  <c r="C1267" i="1"/>
  <c r="D1267" i="1"/>
  <c r="K1267" i="1"/>
  <c r="C1268" i="1"/>
  <c r="D1268" i="1"/>
  <c r="H1268" i="1"/>
  <c r="K1268" i="1"/>
  <c r="L1268" i="1"/>
  <c r="M1268" i="1"/>
  <c r="N1268" i="1"/>
  <c r="C1269" i="1"/>
  <c r="D1269" i="1"/>
  <c r="H1269" i="1"/>
  <c r="K1269" i="1"/>
  <c r="L1269" i="1"/>
  <c r="M1269" i="1"/>
  <c r="N1269" i="1"/>
  <c r="C1270" i="1"/>
  <c r="D1270" i="1"/>
  <c r="H1270" i="1"/>
  <c r="K1270" i="1"/>
  <c r="L1270" i="1"/>
  <c r="M1270" i="1"/>
  <c r="N1270" i="1"/>
  <c r="C1271" i="1"/>
  <c r="D1271" i="1"/>
  <c r="H1271" i="1"/>
  <c r="K1271" i="1"/>
  <c r="L1271" i="1"/>
  <c r="M1271" i="1"/>
  <c r="N1271" i="1"/>
  <c r="C1272" i="1"/>
  <c r="D1272" i="1"/>
  <c r="H1272" i="1"/>
  <c r="K1272" i="1"/>
  <c r="L1272" i="1"/>
  <c r="M1272" i="1"/>
  <c r="N1272" i="1"/>
  <c r="C1273" i="1"/>
  <c r="D1273" i="1"/>
  <c r="H1273" i="1"/>
  <c r="K1273" i="1"/>
  <c r="L1273" i="1"/>
  <c r="M1273" i="1"/>
  <c r="N1273" i="1"/>
  <c r="C1274" i="1"/>
  <c r="D1274" i="1"/>
  <c r="H1274" i="1"/>
  <c r="K1274" i="1"/>
  <c r="L1274" i="1"/>
  <c r="M1274" i="1"/>
  <c r="N1274" i="1"/>
  <c r="C1275" i="1"/>
  <c r="D1275" i="1"/>
  <c r="H1275" i="1"/>
  <c r="K1275" i="1"/>
  <c r="L1275" i="1"/>
  <c r="M1275" i="1"/>
  <c r="N1275" i="1"/>
  <c r="C1276" i="1"/>
  <c r="D1276" i="1"/>
  <c r="H1276" i="1"/>
  <c r="K1276" i="1"/>
  <c r="L1276" i="1"/>
  <c r="M1276" i="1"/>
  <c r="N1276" i="1"/>
</calcChain>
</file>

<file path=xl/sharedStrings.xml><?xml version="1.0" encoding="utf-8"?>
<sst xmlns="http://schemas.openxmlformats.org/spreadsheetml/2006/main" count="5117" uniqueCount="1249">
  <si>
    <t>Fac_No</t>
  </si>
  <si>
    <t>Inactive</t>
  </si>
  <si>
    <t>Dept</t>
  </si>
  <si>
    <t>Service_Code</t>
  </si>
  <si>
    <t>Type_Code</t>
  </si>
  <si>
    <t>Description</t>
  </si>
  <si>
    <t>Rev_Code</t>
  </si>
  <si>
    <t>CPT_Code</t>
  </si>
  <si>
    <t>Charge_1</t>
  </si>
  <si>
    <t>Charge_2</t>
  </si>
  <si>
    <t>Inpatient_GL</t>
  </si>
  <si>
    <t>Outpatient_GL</t>
  </si>
  <si>
    <t>Other_GL_3</t>
  </si>
  <si>
    <t>Other_GL_4</t>
  </si>
  <si>
    <t>Location</t>
  </si>
  <si>
    <t>PrevCharge</t>
  </si>
  <si>
    <t>EffDate</t>
  </si>
  <si>
    <t>HOS</t>
  </si>
  <si>
    <t>N</t>
  </si>
  <si>
    <t>D</t>
  </si>
  <si>
    <t>ROOM &amp; BOARD LAT ACU 2</t>
  </si>
  <si>
    <t>ROOM &amp; BOARD LAT ACUTE</t>
  </si>
  <si>
    <t>ROOM &amp; BOARD ADOL ACU 2</t>
  </si>
  <si>
    <t>ROOM &amp; BOARD ADOL ACUTE I</t>
  </si>
  <si>
    <t>ROOM &amp; BOARD ADOL RTC</t>
  </si>
  <si>
    <t>EXPRESSIVE THERAPY 60 MIN</t>
  </si>
  <si>
    <t>RECREATIONAL THERAPY 90 MIN</t>
  </si>
  <si>
    <t>EXPRESSIVE THERAPY 30 MIN</t>
  </si>
  <si>
    <t>PSYCHOLOGICAL TESTING (STAFF)</t>
  </si>
  <si>
    <t>FAM THER W/PT 60MN (THERAPIST)</t>
  </si>
  <si>
    <t>FAM THERP W/O PT 60MIN (STAFF)</t>
  </si>
  <si>
    <t>INDIV THER 45-50 MN (THERAPIST</t>
  </si>
  <si>
    <t>INDIV DIAG ASSMT 60MIN (STAFF)</t>
  </si>
  <si>
    <t>CD ASSESSMENT (THERAPIST)</t>
  </si>
  <si>
    <t>GROUP THERAPY 30MIN (STAFF)</t>
  </si>
  <si>
    <t>BOYS/GIRLS ISSUES GROUP</t>
  </si>
  <si>
    <t>INTERPERSONAL SKILLS GROUP</t>
  </si>
  <si>
    <t>DRUG &amp; ALCOHOL GROUP (STAFF)</t>
  </si>
  <si>
    <t>DRUG &amp; ALCOHOL GROUP 120 MIN.</t>
  </si>
  <si>
    <t>COMMUNITY/GOALS</t>
  </si>
  <si>
    <t>GROUP THERAPY (THERAPIST)</t>
  </si>
  <si>
    <t>REHAB GROUP</t>
  </si>
  <si>
    <t>REHAB GROUP 120 MINUTES</t>
  </si>
  <si>
    <t>REHAB GROUP 30 MIN</t>
  </si>
  <si>
    <t>TREATMENT TEAM</t>
  </si>
  <si>
    <t>INDIV D/C PLAN 60 MIN</t>
  </si>
  <si>
    <t>INDIVIDUAL D/C PLAN 60 MIN</t>
  </si>
  <si>
    <t>SIMPLE REPAIR SUPERFICIAL WOUN</t>
  </si>
  <si>
    <t>SIMPLE REPAIR EXTREMITIES</t>
  </si>
  <si>
    <t>EXCISION OF NAIL</t>
  </si>
  <si>
    <t>HISTORY &amp; PHYSICAL (MD)</t>
  </si>
  <si>
    <t>HISTORY &amp; PHYSICAL</t>
  </si>
  <si>
    <t>DIAGNOSTIC INTERVIEW(MD)</t>
  </si>
  <si>
    <t>DIAGNOSITC INTERVIEW (MD)</t>
  </si>
  <si>
    <t>DIAGNOSITIC INTERVIEW (MD)</t>
  </si>
  <si>
    <t>DIAGNOSTIC INTERVIEW (MD)</t>
  </si>
  <si>
    <t>DIAGNOSTIC INTERVIEW</t>
  </si>
  <si>
    <t>SUBSEQUENT HOSPITAL CARE</t>
  </si>
  <si>
    <t>SUBSEQUENT HOSP CARE I</t>
  </si>
  <si>
    <t>SUBSEQUENT HOSP CARE I (MD)</t>
  </si>
  <si>
    <t>SUBEQUENT HOSP CARE I (MD)</t>
  </si>
  <si>
    <t>SUBSEQUENT HOSP CARE (MD)</t>
  </si>
  <si>
    <t>SUBSEQUENT HOSP CARE III (MD)</t>
  </si>
  <si>
    <t>MED CHECK 15 MIN (MD)</t>
  </si>
  <si>
    <t>MED CHECK (MD)</t>
  </si>
  <si>
    <t>MED CHECK</t>
  </si>
  <si>
    <t>FAMILY THERAPY W/PT (MD)</t>
  </si>
  <si>
    <t>FAMILY THERAPY W/O PT (MD)</t>
  </si>
  <si>
    <t>INDIV THERAPY 45-5- MIN (MD)</t>
  </si>
  <si>
    <t>INDIVIDUAL 40-50 MIN W/MED CK</t>
  </si>
  <si>
    <t>INDIVIDUAL W/MED CHECK 75-80 M</t>
  </si>
  <si>
    <t>INDIV THERAPY 20-30 MIN (MD)</t>
  </si>
  <si>
    <t>INDIVIDUAL 20-30 MIN W/MED CK</t>
  </si>
  <si>
    <t>INDIV THERAPY 45-50 MIN (MD)</t>
  </si>
  <si>
    <t>INDIV 40-50 MIN W/MED CHECK</t>
  </si>
  <si>
    <t>INDIVID 20-30 MIN W/MED CHECK</t>
  </si>
  <si>
    <t>INDIV 20-30 MIN W/MED CHECK</t>
  </si>
  <si>
    <t>GROUP THERAPY 60 MIN (MD)</t>
  </si>
  <si>
    <t>PSYCH/SOC ASSMNT (THERAPIST)</t>
  </si>
  <si>
    <t>INDIV NURSE ASSMT 60MIN</t>
  </si>
  <si>
    <t>DIETARY ASSESSMENT</t>
  </si>
  <si>
    <t>1:1 STAFFING ADD ON</t>
  </si>
  <si>
    <t>SPECIALTY ADD ON</t>
  </si>
  <si>
    <t>*IVORY LIQUID SOAP</t>
  </si>
  <si>
    <t>ADMISSION KIT</t>
  </si>
  <si>
    <t>CBC W/O DIFF</t>
  </si>
  <si>
    <t>CHEM PANEL/CBC</t>
  </si>
  <si>
    <t>CHEM SCREEN PANEL+THYROID+HDL</t>
  </si>
  <si>
    <t>CHEMICAL SCREEN PANEL</t>
  </si>
  <si>
    <t>ANTIBODY SCREEN, BLOOD</t>
  </si>
  <si>
    <t>FERRITIN</t>
  </si>
  <si>
    <t>LIVER</t>
  </si>
  <si>
    <t>SIROLIMUS #36712</t>
  </si>
  <si>
    <t>PTH INTACT #8837</t>
  </si>
  <si>
    <t>PREGNANCY TEST, URINE (UCG)</t>
  </si>
  <si>
    <t>PREGNANCY TEST BLOOD (UCG)</t>
  </si>
  <si>
    <t>PREGNANCY TEST URINE (HCG)</t>
  </si>
  <si>
    <t>PREGNANCY TEST URINE HCG QUANT</t>
  </si>
  <si>
    <t>FLU A&amp;B ANTIGEN TEST</t>
  </si>
  <si>
    <t>PRE ALBUMIN</t>
  </si>
  <si>
    <t>VITAMIN D 25-H #17306</t>
  </si>
  <si>
    <t>PLATELET COUNT #723</t>
  </si>
  <si>
    <t>RUBELLA ANTIBODY 1G</t>
  </si>
  <si>
    <t>RAPID STREP</t>
  </si>
  <si>
    <t>BETA STREP SCREEN DIRECT GRP A</t>
  </si>
  <si>
    <t>STREP SCREEN-THROAT</t>
  </si>
  <si>
    <t>COVID ANTIGEN</t>
  </si>
  <si>
    <t>COVID PCR</t>
  </si>
  <si>
    <t>CARBAMAZEPINE, SERUM</t>
  </si>
  <si>
    <t>CULTURE-THROAT BETA</t>
  </si>
  <si>
    <t>THYROID PROFILE</t>
  </si>
  <si>
    <t>THYROID PROFILE/TBG</t>
  </si>
  <si>
    <t>THYROID STIMULATING HORMONE</t>
  </si>
  <si>
    <t>PROLACTIN SERUM</t>
  </si>
  <si>
    <t>RPR TILER</t>
  </si>
  <si>
    <t>CULTURE, THROAT NOT BETA STREP</t>
  </si>
  <si>
    <t>TRILEPTAL LEVEL</t>
  </si>
  <si>
    <t>VALPROIC ACID</t>
  </si>
  <si>
    <t>BILIRUBEN PANEL</t>
  </si>
  <si>
    <t>CHEM 20</t>
  </si>
  <si>
    <t>A.M.A HEPATIC FUNCTION PANEL</t>
  </si>
  <si>
    <t>HEMATICA AND HEMOGLOBLIN</t>
  </si>
  <si>
    <t>ELECTROLYTE PROFILE</t>
  </si>
  <si>
    <t>HEPATITIS PROFILE 35/PANEL</t>
  </si>
  <si>
    <t>CHEM PANEL-21</t>
  </si>
  <si>
    <t>IRON AND TIBC</t>
  </si>
  <si>
    <t>VIT B12 AND FOLATE</t>
  </si>
  <si>
    <t>RETIC COUNT</t>
  </si>
  <si>
    <t>TRIGLYCERIDES</t>
  </si>
  <si>
    <t>PHOSPHATE LEVEL</t>
  </si>
  <si>
    <t>MAGNESIUM LEVEL</t>
  </si>
  <si>
    <t>CALCIUM LEVEL</t>
  </si>
  <si>
    <t>ALBUMEN PROTEIN</t>
  </si>
  <si>
    <t>BETA HCG QUANT</t>
  </si>
  <si>
    <t>RPR SERUM</t>
  </si>
  <si>
    <t>IRON TEST</t>
  </si>
  <si>
    <t>TRANSFERRIN</t>
  </si>
  <si>
    <t>LIPID PANEL</t>
  </si>
  <si>
    <t>HCG SERUM QUANT.</t>
  </si>
  <si>
    <t>GGT</t>
  </si>
  <si>
    <t>HEPATIC FUNCTION PANEL</t>
  </si>
  <si>
    <t>*DRUG SCREEN COMPR. COMF.SERV.</t>
  </si>
  <si>
    <t>C-DIFF</t>
  </si>
  <si>
    <t>O&amp;P W/PERMANENT STAIN</t>
  </si>
  <si>
    <t>CULTURE, STOOL, SHIGA TOXINS</t>
  </si>
  <si>
    <t>CLOMIPRAMINE/N-DESMETHYL</t>
  </si>
  <si>
    <t>DX</t>
  </si>
  <si>
    <t>URINALYSIS</t>
  </si>
  <si>
    <t>URINALYSIS, COMPLETE</t>
  </si>
  <si>
    <t>URINE DRUG SCREEN</t>
  </si>
  <si>
    <t>GLUCOSE QL (URINE) TEST</t>
  </si>
  <si>
    <t>HEMOGLOBIN A1C</t>
  </si>
  <si>
    <t>GAM IMMUNOGLOBULINS</t>
  </si>
  <si>
    <t>UA, COMPLETE (DIP &amp; MICRO)</t>
  </si>
  <si>
    <t>UA, COMPLETE W/REFLEX CULTURE</t>
  </si>
  <si>
    <t>BENZODIAZCPINES (B)</t>
  </si>
  <si>
    <t>POTASSIUM</t>
  </si>
  <si>
    <t>BASIC METABOLIC PANEL</t>
  </si>
  <si>
    <t>COMP METAB PNL</t>
  </si>
  <si>
    <t>AMYLASE</t>
  </si>
  <si>
    <t>PROTEIN, TOTAL</t>
  </si>
  <si>
    <t>FECAL IMMUMO/OCCULT BLOOD</t>
  </si>
  <si>
    <t>AEROBIC CULTURE</t>
  </si>
  <si>
    <t>SED RATE BY MOD WEST</t>
  </si>
  <si>
    <t>HEP B CORE AB, IGM</t>
  </si>
  <si>
    <t>HEP C VIRUS AB</t>
  </si>
  <si>
    <t>T 3 TOTAL</t>
  </si>
  <si>
    <t>T4-TOTAL</t>
  </si>
  <si>
    <t>STREPTPCOCCUS GROUP</t>
  </si>
  <si>
    <t>DILANTIN LEVEL (PHENYTOIN)</t>
  </si>
  <si>
    <t>DRUG ABUSE PANEL 9</t>
  </si>
  <si>
    <t>LITHIUM, SERUM</t>
  </si>
  <si>
    <t>IMIPRAMINE/DESIPRAMINE LEVEL</t>
  </si>
  <si>
    <t>AFB SPUTUM</t>
  </si>
  <si>
    <t>SPUTUM C&amp;S</t>
  </si>
  <si>
    <t>TEGRITOL LEVEL</t>
  </si>
  <si>
    <t>DRUG SCREEN 10</t>
  </si>
  <si>
    <t>GC/MS CONFIRMATION</t>
  </si>
  <si>
    <t>SYPHILLIS SEROLOGY</t>
  </si>
  <si>
    <t>CULTURE MISC</t>
  </si>
  <si>
    <t>CULTURE,GENITAL</t>
  </si>
  <si>
    <t>CULTURE, URINE, ROUTINE</t>
  </si>
  <si>
    <t>CULTURE-BODY FLUID</t>
  </si>
  <si>
    <t>GENITAL CULTURE</t>
  </si>
  <si>
    <t>HEPATITIS B SURFACE ANTIGEN</t>
  </si>
  <si>
    <t>CBC W/DIFF</t>
  </si>
  <si>
    <t>LEAD BLOOD</t>
  </si>
  <si>
    <t>UCG URINE PREG TEST</t>
  </si>
  <si>
    <t>VDRL</t>
  </si>
  <si>
    <t>CULTURE URINE, VOIDE</t>
  </si>
  <si>
    <t>EZ STOOL TEST</t>
  </si>
  <si>
    <t>GLUCOSE FASTING</t>
  </si>
  <si>
    <t>MONO TEST</t>
  </si>
  <si>
    <t>HIV</t>
  </si>
  <si>
    <t>OVA &amp; PARASITES</t>
  </si>
  <si>
    <t>PAP SMEAR</t>
  </si>
  <si>
    <t>DEPAKOTE LEVEL</t>
  </si>
  <si>
    <t>ALCOHOL LEVEL</t>
  </si>
  <si>
    <t>#8421 THC SERUUM (MARIJUANA)</t>
  </si>
  <si>
    <t>THYROID PANEL (T3U,T4,T7)</t>
  </si>
  <si>
    <t>ALANINE AMINOTRANSFERASE(ALT)</t>
  </si>
  <si>
    <t>ASPARTATE AMINOTRANSFERASE(AST</t>
  </si>
  <si>
    <t>AMMONIA LEVEL, SERUM #5509</t>
  </si>
  <si>
    <t>CHLORPROMAZINE, SERUM</t>
  </si>
  <si>
    <t>ATROPINE, URINE TEST</t>
  </si>
  <si>
    <t>CBC HEMOGRAM</t>
  </si>
  <si>
    <t>UROGRAM (W/0 MICRO)</t>
  </si>
  <si>
    <t>A.M.A. CPMPREH. METABOLIC PANE</t>
  </si>
  <si>
    <t>B.U.N.</t>
  </si>
  <si>
    <t>A.M.A LIPID PANEL</t>
  </si>
  <si>
    <t>CREATININE</t>
  </si>
  <si>
    <t>T-4(THYROXINE),FREE</t>
  </si>
  <si>
    <t>HALOPERIDOL, SERUM</t>
  </si>
  <si>
    <t>*PENTA SCREEN</t>
  </si>
  <si>
    <t>T4 THYROXINE TOTAL</t>
  </si>
  <si>
    <t>*AST</t>
  </si>
  <si>
    <t>*ALT</t>
  </si>
  <si>
    <t>HCG, TOTAL (URINE) 81025</t>
  </si>
  <si>
    <t>HCG,SERUM,QUAL</t>
  </si>
  <si>
    <t>HCD AB RIBA, SERUM</t>
  </si>
  <si>
    <t>FOLLICLE STIM HORMONE (FSH)</t>
  </si>
  <si>
    <t>TESTOSTERONE (TOTAL)</t>
  </si>
  <si>
    <t>T3 TOTAL</t>
  </si>
  <si>
    <t>ANA W/REFLEX TITER</t>
  </si>
  <si>
    <t>OCCULT BLOOD FECES-GUAIAC</t>
  </si>
  <si>
    <t>RHEUMATOID FACTOR</t>
  </si>
  <si>
    <t>H PYLORI</t>
  </si>
  <si>
    <t>*EAR CULTURE</t>
  </si>
  <si>
    <t>PT WITH INR</t>
  </si>
  <si>
    <t>PTT, ACTIVATED</t>
  </si>
  <si>
    <t>CPK WITH ISO ENZYMES</t>
  </si>
  <si>
    <t>MYOGLOBIN SERUM</t>
  </si>
  <si>
    <t>SYNTHETIC CANNABOID SCREEN</t>
  </si>
  <si>
    <t>FREESTYLE STRIPS 100CT BOX</t>
  </si>
  <si>
    <t>PHISOHEX</t>
  </si>
  <si>
    <t>LANCETS 100CT BOX</t>
  </si>
  <si>
    <t>TRIPLE ANTIBIOTIC OINTMENT</t>
  </si>
  <si>
    <t>GENTAMICIN 0.3% OPTHAMALIC SOL</t>
  </si>
  <si>
    <t>*BACTINE SPRAY</t>
  </si>
  <si>
    <t>RAPAMUNE 1MG TABLET</t>
  </si>
  <si>
    <t>AMITRIPYLINE 100MG</t>
  </si>
  <si>
    <t>*HYDROCO/APAP</t>
  </si>
  <si>
    <t>VITAMIN D 1000UNIT</t>
  </si>
  <si>
    <t>VITAMIN D3 2000UNIT</t>
  </si>
  <si>
    <t>GUAIFENESIN 100 MG/5 ML DOSE</t>
  </si>
  <si>
    <t>CHLOROPROMAZINE 10MG</t>
  </si>
  <si>
    <t>VAYARIN</t>
  </si>
  <si>
    <t>MEDROXY PR AC</t>
  </si>
  <si>
    <t>GUAIFENESIN 600MG</t>
  </si>
  <si>
    <t>*BETA/VAL CREAM 0.1%</t>
  </si>
  <si>
    <t>*TERRETOL 100MG/SML 450ML BTL</t>
  </si>
  <si>
    <t>PAROXETINE CR 37.5 MG</t>
  </si>
  <si>
    <t>PAROXETINE CR 12.5 MG</t>
  </si>
  <si>
    <t>*DOVE SENSITIVE SKIN*</t>
  </si>
  <si>
    <t>*LISTERINE BOTTLE</t>
  </si>
  <si>
    <t>FLINTSTONES VITAMIN</t>
  </si>
  <si>
    <t>*MOISTUREL CREAM</t>
  </si>
  <si>
    <t>PANTOPRAZOLE 40 MG</t>
  </si>
  <si>
    <t>ERYTHROMYCIN OPHT OINTMENT</t>
  </si>
  <si>
    <t>PROVIGIL 100MG</t>
  </si>
  <si>
    <t>*VICKS VAPOR RUB</t>
  </si>
  <si>
    <t>FIORICET</t>
  </si>
  <si>
    <t>CYCLAFEM</t>
  </si>
  <si>
    <t>CLOZAPINE 100MG</t>
  </si>
  <si>
    <t>FISH OIL</t>
  </si>
  <si>
    <t>TRAZODONE 200MG</t>
  </si>
  <si>
    <t>VENLAFAXINE XR 75MG</t>
  </si>
  <si>
    <t>LOXAPINE 5MG</t>
  </si>
  <si>
    <t>STRATTERA 80MG</t>
  </si>
  <si>
    <t>*ALOE VERA GEL</t>
  </si>
  <si>
    <t>*THUM STOP NAIL BITING</t>
  </si>
  <si>
    <t>FEXOFENADINE</t>
  </si>
  <si>
    <t>ACETAMINOPHEN LIQ. 160MG</t>
  </si>
  <si>
    <t>AMOXILCILLIN 500MG TAB</t>
  </si>
  <si>
    <t>NAPROXEN 200 MG</t>
  </si>
  <si>
    <t>LEVOCARNITIN TABLET</t>
  </si>
  <si>
    <t>IVERMECTIN 3MG</t>
  </si>
  <si>
    <t>FAMCICLOVIR 250MG TAB</t>
  </si>
  <si>
    <t>LORAZEPAM 0.5</t>
  </si>
  <si>
    <t>LORAZEPAM 1MG</t>
  </si>
  <si>
    <t>LORAZEPAM 2MG</t>
  </si>
  <si>
    <t>LEVOTHYROXIN 112MCG</t>
  </si>
  <si>
    <t>*LORAZEPAM INJ PER DOSE</t>
  </si>
  <si>
    <t>FANAPT 2MG</t>
  </si>
  <si>
    <t>FANAPT 8MG</t>
  </si>
  <si>
    <t>FANAPT 10MG</t>
  </si>
  <si>
    <t>INTUNIV 1MG  TAB</t>
  </si>
  <si>
    <t>INTUNIV 2MG TAB</t>
  </si>
  <si>
    <t>INTUNIV 3MG</t>
  </si>
  <si>
    <t>INTUNIV 4 MG</t>
  </si>
  <si>
    <t>LEVOTHYROXINE 60MG</t>
  </si>
  <si>
    <t>*SELSUN BLUE SHAMPOO*</t>
  </si>
  <si>
    <t>*CHLORPROMAZINE 25MG INJ</t>
  </si>
  <si>
    <t>*THORAZINE 50MG INJ</t>
  </si>
  <si>
    <t>BUSPIRONE 5 MG</t>
  </si>
  <si>
    <t>BUSPIRONE 10 MG</t>
  </si>
  <si>
    <t>BUSPIONE 15 MG</t>
  </si>
  <si>
    <t>CEFACLOR 250 MGP</t>
  </si>
  <si>
    <t>LORAZEPAM 0.25MG</t>
  </si>
  <si>
    <t>THIORIDAZINE 50MG</t>
  </si>
  <si>
    <t>THIORIDAZINE 100MG</t>
  </si>
  <si>
    <t>BUSPIRONE 7.5 MG</t>
  </si>
  <si>
    <t>*FLU SHOT</t>
  </si>
  <si>
    <t>LEVETIRACETAM 750MG TAB</t>
  </si>
  <si>
    <t>BENZTROPHINE 2MG</t>
  </si>
  <si>
    <t>BACLOFEN</t>
  </si>
  <si>
    <t>VITAMIN CHEWABLE</t>
  </si>
  <si>
    <t>*ALBUTEROL NEB 0.083%</t>
  </si>
  <si>
    <t>*BACTRICIN OINMENT</t>
  </si>
  <si>
    <t>*ALBUTEROL SYRUP 2MG/5ML 4OZ</t>
  </si>
  <si>
    <t>CIMETIDINE 200MG</t>
  </si>
  <si>
    <t>BENZTROPHINE 1MG</t>
  </si>
  <si>
    <t>*PERMETHRIN CREAM 5%</t>
  </si>
  <si>
    <t>LEVOTHYROXIN 125MCG</t>
  </si>
  <si>
    <t>DIPHENHYDRAMINE LIQUID 12.5MG</t>
  </si>
  <si>
    <t>*LOESTRIN FE PACK</t>
  </si>
  <si>
    <t>LISDEXAMFETAMINE 30 MG</t>
  </si>
  <si>
    <t>*BACTROBAN TOPICAL</t>
  </si>
  <si>
    <t>*CITRUCEL BULK</t>
  </si>
  <si>
    <t>LISDEXAMFETAMINE 50 MG</t>
  </si>
  <si>
    <t>QUETIAPINE 300MG</t>
  </si>
  <si>
    <t>LEVETIRACETAM 500 MG TAB</t>
  </si>
  <si>
    <t>AMOXICILLIN/K CLAV 250 MG</t>
  </si>
  <si>
    <t>AMOXICILLIN/K CLAV 400MG</t>
  </si>
  <si>
    <t>*LACTINEX CHEWABELS</t>
  </si>
  <si>
    <t>*DESOGEN 28 PER PACK</t>
  </si>
  <si>
    <t>*CHAPSTICK</t>
  </si>
  <si>
    <t>ACETAZOLAMIDE 250MG</t>
  </si>
  <si>
    <t>DIPHENHYDRAMINE 75MG</t>
  </si>
  <si>
    <t>LEVOTHYROXIN 50MCG</t>
  </si>
  <si>
    <t>PRAZOSIN 3MG</t>
  </si>
  <si>
    <t>*CIPRODEX SUS 0.3-0/1% OTIC DR</t>
  </si>
  <si>
    <t>*LANTANOPROST EYE DROPS</t>
  </si>
  <si>
    <t>CARBAMAZEPINE ER 100 MG CAPS</t>
  </si>
  <si>
    <t>CEPHALEXIN 250MG</t>
  </si>
  <si>
    <t>CIMETIDINE 300MG</t>
  </si>
  <si>
    <t>*CARAFATE SUS 1GM/10ML</t>
  </si>
  <si>
    <t>PRAZOSIN HCL 5MG</t>
  </si>
  <si>
    <t>*THROAT SPRAY</t>
  </si>
  <si>
    <t>METFORMIN 100MG</t>
  </si>
  <si>
    <t>*CHLORPROMAZINE 50MG INJ</t>
  </si>
  <si>
    <t>METFORMIN 850MG</t>
  </si>
  <si>
    <t>CLONIDINE 0.2MG</t>
  </si>
  <si>
    <t>CLONIDINE 0.05MG</t>
  </si>
  <si>
    <t>CARBAMAZEPINE 200MG</t>
  </si>
  <si>
    <t>CIMETIDINE 400MG</t>
  </si>
  <si>
    <t>VITAMIN D 50000 UNIT DOSE</t>
  </si>
  <si>
    <t>VITAMIN C 250MG</t>
  </si>
  <si>
    <t>CARBAMAZEPINE XR 400 MG TAB</t>
  </si>
  <si>
    <t>VITAMIN C 500 MG</t>
  </si>
  <si>
    <t>LEVETIRACETAM 250 MG</t>
  </si>
  <si>
    <t>CIPROFLOXACIN 500MG</t>
  </si>
  <si>
    <t>FIBER GUMMIES</t>
  </si>
  <si>
    <t>LEVOTHYROXINE 200 MCG</t>
  </si>
  <si>
    <t>CLOZAPINE 25 MG</t>
  </si>
  <si>
    <t>LORATADINE 10 MG TAB</t>
  </si>
  <si>
    <t>CLONIDINE 0.1MG</t>
  </si>
  <si>
    <t>*CREATININE</t>
  </si>
  <si>
    <t>*ABILIFY IM 9.75MG</t>
  </si>
  <si>
    <t>STRATTERA 100MG</t>
  </si>
  <si>
    <t>CLONIDINE ER 0.1MG</t>
  </si>
  <si>
    <t>*ACNE CREAM</t>
  </si>
  <si>
    <t>LORATADINE D</t>
  </si>
  <si>
    <t>*AMOX CLAV POT SUSP 250 MG LIQ</t>
  </si>
  <si>
    <t>SUCRALFATE TABLET</t>
  </si>
  <si>
    <t>AMOXICILLIN/K CLAV 875MG</t>
  </si>
  <si>
    <t>AMOXICILLIN/K CLAV 500MG</t>
  </si>
  <si>
    <t>*HYOSCYAMINE INJ 0.5MG/ML 1ML</t>
  </si>
  <si>
    <t>*CORTISPORIN EAR GTTS GENERIC</t>
  </si>
  <si>
    <t>*CORTISONE CREAM TOPICAL</t>
  </si>
  <si>
    <t>*BACTRIM SUSPENSION 140ML</t>
  </si>
  <si>
    <t>DOXEPIN 10MG TABS</t>
  </si>
  <si>
    <t>*DESMOPRESSIN NASAL SPRAY (DDA</t>
  </si>
  <si>
    <t>DESMOPRESSIN 0.2MG</t>
  </si>
  <si>
    <t>DESMOPRESSIN 0.4 MG</t>
  </si>
  <si>
    <t>DESMOPRESSIN 0.6 MG</t>
  </si>
  <si>
    <t>DOXYCYCLINE 100MG</t>
  </si>
  <si>
    <t>DEPAKOTE ER 500MG TAB</t>
  </si>
  <si>
    <t>ENABLEX 15MG</t>
  </si>
  <si>
    <t>HYDROXYZINE HCL 25 MG</t>
  </si>
  <si>
    <t>DIPHENHYDRAMINE 50MG</t>
  </si>
  <si>
    <t>*DIPHENHYDRAMINE 50MG/ML INJ E</t>
  </si>
  <si>
    <t>DIPHENHYDRAMINE 25MG</t>
  </si>
  <si>
    <t>*DOMEBORO (SOAKS) BOX</t>
  </si>
  <si>
    <t>*DOUBLE ANTIBIOTIC OINTMENT</t>
  </si>
  <si>
    <t>DEPAKOTE 250MG</t>
  </si>
  <si>
    <t>NALTREXONE 50MG</t>
  </si>
  <si>
    <t>DIVALPROEX 125 MG SPRINKLE CAP</t>
  </si>
  <si>
    <t>BISACODYL 5 MG</t>
  </si>
  <si>
    <t>BUPROPION SR 150MG TAB</t>
  </si>
  <si>
    <t>MEBENDAZOLE 100MG CHEW TAB</t>
  </si>
  <si>
    <t>*BENZOYL PEROXIDE TOPICAL</t>
  </si>
  <si>
    <t>*INSULIN LANTUS NJECTION 10ML</t>
  </si>
  <si>
    <t>BENEFIBER CHEWABLES</t>
  </si>
  <si>
    <t>*PSEUDOEPHEDRING 30MG BOX</t>
  </si>
  <si>
    <t>*PULMICORT 180MCG INHALER</t>
  </si>
  <si>
    <t>*BENZOYL PEROXIDE WASH</t>
  </si>
  <si>
    <t>ETHOSUXIMIDE 250MG</t>
  </si>
  <si>
    <t>*FLOVENT INHALER</t>
  </si>
  <si>
    <t>*PROMETHAZINE GEL 25MG (9.95EA</t>
  </si>
  <si>
    <t>*OXCARBAZEPINE 300/5ML 250ML</t>
  </si>
  <si>
    <t>IBUPROFEN LIQUID 100ML</t>
  </si>
  <si>
    <t>*LAMICTAL ORANGE PACK</t>
  </si>
  <si>
    <t>ERYTHROMYCIN 250MG</t>
  </si>
  <si>
    <t>ERYTHROCMYCIN 333MG</t>
  </si>
  <si>
    <t>*ERYTHROMYCIN TOP.</t>
  </si>
  <si>
    <t>FLUOXETINE 30MG</t>
  </si>
  <si>
    <t>*BISACODYL SUPP (RECTALLY) PAC</t>
  </si>
  <si>
    <t>*ANUCORT HC SUPP</t>
  </si>
  <si>
    <t>METHOCARBAMOL 500MG</t>
  </si>
  <si>
    <t>METHOCARBAMOL 750MG</t>
  </si>
  <si>
    <t>FLUOXETIN 10MG</t>
  </si>
  <si>
    <t>FLUOXETIN 20MG</t>
  </si>
  <si>
    <t>FLUOXETINE 40MG</t>
  </si>
  <si>
    <t>DILANTIN 100MG</t>
  </si>
  <si>
    <t>METHYLPHENIDATE 2.5MG TAB</t>
  </si>
  <si>
    <t>FLUOXETIN 10MG TABLET</t>
  </si>
  <si>
    <t>*NEOSYNEPHRINE SPRAY</t>
  </si>
  <si>
    <t>QUETIAPINE 25 MG</t>
  </si>
  <si>
    <t>QUETIAPINE 100 MG</t>
  </si>
  <si>
    <t>EFFEXOR 50MG</t>
  </si>
  <si>
    <t>EFFEXOR 25MG</t>
  </si>
  <si>
    <t>EFFEXOR XR 150MG</t>
  </si>
  <si>
    <t>QUETIAPINE 200 MG</t>
  </si>
  <si>
    <t>QUETIAPINE XR 200MG</t>
  </si>
  <si>
    <t>*MEDERMA</t>
  </si>
  <si>
    <t>HYDOXYZINE HCL 50 MG TAB</t>
  </si>
  <si>
    <t>VENLAFAXINE 100MG</t>
  </si>
  <si>
    <t>*NORTREL 28 0.5/35 B/C PACK</t>
  </si>
  <si>
    <t>CYCLOBENZAPRINE 10MG TAB</t>
  </si>
  <si>
    <t>CYCLOBENZAPRINE 5MG</t>
  </si>
  <si>
    <t>CYPROHEPTADINE 4MG</t>
  </si>
  <si>
    <t>ALPRAZOLAM 0.25MG</t>
  </si>
  <si>
    <t>ACYCLOVER 200MG</t>
  </si>
  <si>
    <t>LAMOTRIGINE 25 MG</t>
  </si>
  <si>
    <t>LAMOTRIGINE CHEW 5 MG</t>
  </si>
  <si>
    <t>SERTRALINE 100MG</t>
  </si>
  <si>
    <t>ACYCLOVIR 400MG TAB</t>
  </si>
  <si>
    <t>*METHYPREDNISOLONE IM INJ</t>
  </si>
  <si>
    <t>*VITAMIN A&amp;D OINTMENT</t>
  </si>
  <si>
    <t>*LINDANE</t>
  </si>
  <si>
    <t>*LINDANE LOTION 1%</t>
  </si>
  <si>
    <t>*AEROCHAMBER MIS PLUS</t>
  </si>
  <si>
    <t>*YASMIN 28 DAY TABS</t>
  </si>
  <si>
    <t>ISONIAZID 300MG</t>
  </si>
  <si>
    <t>FERROUS SULFATE 324MG</t>
  </si>
  <si>
    <t>FERROUS SULFATE 65MG</t>
  </si>
  <si>
    <t>*MIRCETTE 28 BC PACK</t>
  </si>
  <si>
    <t>MECLIZINE 25 MG</t>
  </si>
  <si>
    <t>N- ACETYLCYSTIENE 600MG</t>
  </si>
  <si>
    <t>*SCALPICIN SOL 1%</t>
  </si>
  <si>
    <t>GUANFACINE 0.5MG</t>
  </si>
  <si>
    <t>GUANFACINE 1MG</t>
  </si>
  <si>
    <t>GUANFACINE 2MG</t>
  </si>
  <si>
    <t>EXPECTORANT SYRUP DM</t>
  </si>
  <si>
    <t>STAVZOR 250MG</t>
  </si>
  <si>
    <t>EFFEXOR XR 37.5MG</t>
  </si>
  <si>
    <t>SYMBYAX 6-50MG</t>
  </si>
  <si>
    <t>FANAPT 1MG</t>
  </si>
  <si>
    <t>*LICE SPRAY</t>
  </si>
  <si>
    <t>ACIPHEX 20MG TAB</t>
  </si>
  <si>
    <t>ZOLPIDEM 10 MG TAB</t>
  </si>
  <si>
    <t>ZOLPIDEM 5MG</t>
  </si>
  <si>
    <t>*ZINC OXIDE TOPICAL</t>
  </si>
  <si>
    <t>PRIMROSE OIL CAP 500MG</t>
  </si>
  <si>
    <t>CLONIDINE .1MG</t>
  </si>
  <si>
    <t>METADATE CD 50MG</t>
  </si>
  <si>
    <t>*LORATADINE SYR 5MG/5ML 120ML</t>
  </si>
  <si>
    <t>*FULL KIT NEBULIZER MIST SET</t>
  </si>
  <si>
    <t>*NEUTROGENA MOIST LOTION</t>
  </si>
  <si>
    <t>*MAGNESIUM CITRATE/ONE BOTTLE</t>
  </si>
  <si>
    <t>*AVEENO BATH BOX</t>
  </si>
  <si>
    <t>*AVEENO MOIST LOTION</t>
  </si>
  <si>
    <t>FIBER CON</t>
  </si>
  <si>
    <t>*HYDROCORTISONE 1% TOPICAL</t>
  </si>
  <si>
    <t>HYDROCODONE 5 MG W/APAP</t>
  </si>
  <si>
    <t>HYDROXY PAM 25MG</t>
  </si>
  <si>
    <t>*HYDROCORTSONE OINTMENT 2.5%</t>
  </si>
  <si>
    <t>PROMETHAZINE SUPPOSITORY</t>
  </si>
  <si>
    <t>LISDEXAMFETAMINE 40 MG</t>
  </si>
  <si>
    <t>MAGNESIUM G 400MG</t>
  </si>
  <si>
    <t>ZIPRASIDONE HCL 60 MG</t>
  </si>
  <si>
    <t>ZIPRASIDONE HCL 80 MG</t>
  </si>
  <si>
    <t>HALDOL 2.5MG</t>
  </si>
  <si>
    <t>HALOPERIDOL 0.5 MG</t>
  </si>
  <si>
    <t>HALOPERIDOL 10 MG</t>
  </si>
  <si>
    <t>HALOPERIDOL 5 MG</t>
  </si>
  <si>
    <t>HALOPERIDOL 1 MG</t>
  </si>
  <si>
    <t>*HALOPERIDOL 100ML LIQ</t>
  </si>
  <si>
    <t>*ICY HOT PADS</t>
  </si>
  <si>
    <t>CLINDAMYCIN 150MG</t>
  </si>
  <si>
    <t>*ACE BANDAGE</t>
  </si>
  <si>
    <t>*LEVORA BIRTH CONTROL 28</t>
  </si>
  <si>
    <t>*OCELLA BIRTH CONTROL</t>
  </si>
  <si>
    <t>PROPRANOLOL 20MG</t>
  </si>
  <si>
    <t>*ORTHOCYCLEN BIRTH CONTROL PAC</t>
  </si>
  <si>
    <t>FLUPHENAZINE 5MG</t>
  </si>
  <si>
    <t>*DASETTA BIRTH CONTROL</t>
  </si>
  <si>
    <t>*ELINEST BIRTH CONTROL</t>
  </si>
  <si>
    <t>TUMS</t>
  </si>
  <si>
    <t>*NASACORT AQ NASAL INHALER</t>
  </si>
  <si>
    <t>ESTAZOLAM 2MG TAB</t>
  </si>
  <si>
    <t>MIRTAZEPINE 30 MG</t>
  </si>
  <si>
    <t>MIRTAZEPINE 45 MG</t>
  </si>
  <si>
    <t>MIRTAZAPINE 15 MG</t>
  </si>
  <si>
    <t>QUETIAPINE 50MG</t>
  </si>
  <si>
    <t>*HALOPERIDOL INJ PER DOSE</t>
  </si>
  <si>
    <t>PROPRANOLOL 10MG</t>
  </si>
  <si>
    <t>PROPRANOLOL LA 60 MG</t>
  </si>
  <si>
    <t>IBUPROFEN 400MG TAB</t>
  </si>
  <si>
    <t>IBUPROFEN 200MG TAB</t>
  </si>
  <si>
    <t>IBUPROFEN 600MG TAB</t>
  </si>
  <si>
    <t>IBUPROFEN 800MG TAB</t>
  </si>
  <si>
    <t>IMIPRAMINE 75MG</t>
  </si>
  <si>
    <t>IMIPRAMINE 25MG</t>
  </si>
  <si>
    <t>IMIPRAMINE HCL 50MG TAB</t>
  </si>
  <si>
    <t>*REESES PINWORM MED SUSP</t>
  </si>
  <si>
    <t>*LOPERAMIDE LIQ</t>
  </si>
  <si>
    <t>CLOMIPRAMINE HCL 25MG</t>
  </si>
  <si>
    <t>CLOMIPRAMINE HCL 50MG</t>
  </si>
  <si>
    <t>CITALOPRAM 20MG</t>
  </si>
  <si>
    <t>CITALOPRAM 30MG</t>
  </si>
  <si>
    <t>CITALOPRAM 10MG</t>
  </si>
  <si>
    <t>*ANTACID LIQ PER BOTTLE</t>
  </si>
  <si>
    <t>ANTACID LIQUID PER DOSE</t>
  </si>
  <si>
    <t>MIDOL TABLETS</t>
  </si>
  <si>
    <t>IMIPRAMINE 10MG</t>
  </si>
  <si>
    <t>*CONTACTS REWETTING DROPS</t>
  </si>
  <si>
    <t>FAMOTADINE 10MG</t>
  </si>
  <si>
    <t>ACID REDUCER 75MG</t>
  </si>
  <si>
    <t>VITAMINE THIAMINE TABLET</t>
  </si>
  <si>
    <t>*XOPENEX HFA 45MCG 15GM INHALE</t>
  </si>
  <si>
    <t>*FLUTICASONE NASAL SPRAY 50MCG</t>
  </si>
  <si>
    <t>*TEA TREE OIL HERBAL HARVEST</t>
  </si>
  <si>
    <t>NICOTINE PATCH 7MG</t>
  </si>
  <si>
    <t>*AMOXICILLIN 125MG SUSP/LIQ 5M</t>
  </si>
  <si>
    <t>DOCUSATE SODIUM 100 MG</t>
  </si>
  <si>
    <t>*MICONAZOLE 7 VAGINAL CREAM</t>
  </si>
  <si>
    <t>FLUOXETIN 5MG</t>
  </si>
  <si>
    <t>ADDERALL 2.5MH</t>
  </si>
  <si>
    <t>PROPRANOLOL 40MG</t>
  </si>
  <si>
    <t>PROPRANOLOL 80MG</t>
  </si>
  <si>
    <t>*LIP THERAPY NEO/POLY 1%</t>
  </si>
  <si>
    <t>CETIRIZINE 5MG</t>
  </si>
  <si>
    <t>*NYSTATIN 100000 SUSP 60ML</t>
  </si>
  <si>
    <t>AMITRIPTYLIN 25MG</t>
  </si>
  <si>
    <t>AMITRIPYLINE 50MG</t>
  </si>
  <si>
    <t>CETIRIZINE 10MG</t>
  </si>
  <si>
    <t>NICOTINE PATCH 21 MG</t>
  </si>
  <si>
    <t>LORATADINE CHEW 5 MG</t>
  </si>
  <si>
    <t>*SUNBURN TOPICAL</t>
  </si>
  <si>
    <t>DAYQUIL COLD&amp;FLU LIQ CAP</t>
  </si>
  <si>
    <t>NAPROXEN 250 MG</t>
  </si>
  <si>
    <t>VERAMYST SPR 27.5MCG 10GM</t>
  </si>
  <si>
    <t>VESICARE 5MG</t>
  </si>
  <si>
    <t>CLONAZEPAM 0.5MG</t>
  </si>
  <si>
    <t>HYDROCODONE 7.5MG W/APAP</t>
  </si>
  <si>
    <t>TAMADOL 50MG TAB</t>
  </si>
  <si>
    <t>CLONAZEPAM 1MG</t>
  </si>
  <si>
    <t>CLONAZEPAM 0.25MG</t>
  </si>
  <si>
    <t>NIFEDIPINE 10 MG</t>
  </si>
  <si>
    <t>METHYLPHENIDATE ER 20MG</t>
  </si>
  <si>
    <t>*LACTASE ENZYME TABLETS</t>
  </si>
  <si>
    <t>METHYLPHENIDATE ER 30MG CAP</t>
  </si>
  <si>
    <t>*MOUTH GUARD</t>
  </si>
  <si>
    <t>*TERBINAFINE CREMEE</t>
  </si>
  <si>
    <t>LITHIUM CARB 300 MG</t>
  </si>
  <si>
    <t>LITHIUM CARB 150 MG</t>
  </si>
  <si>
    <t>LITHIUM CARB 600 MG</t>
  </si>
  <si>
    <t>LEVOTHYROXINE 75 MCG</t>
  </si>
  <si>
    <t>*LITHIUM CITRATE 120ML</t>
  </si>
  <si>
    <t>*TETRACAINE 1% SUCKER</t>
  </si>
  <si>
    <t>*LITHIUM CITRATE 300MG/5ML</t>
  </si>
  <si>
    <t>DIAZEPAM 5 MG</t>
  </si>
  <si>
    <t>*LOTRIMIN 1% TOPICAL</t>
  </si>
  <si>
    <t>VENLAFAXINE HCL 37.5MG</t>
  </si>
  <si>
    <t>VENLAFAXINE 75 MG</t>
  </si>
  <si>
    <t>MELATONIN 3MG TAB</t>
  </si>
  <si>
    <t>ZINC 50MG</t>
  </si>
  <si>
    <t>ALPRAZOLAM 1MG</t>
  </si>
  <si>
    <t>CEFPROZIL 250MG</t>
  </si>
  <si>
    <t>STAVZOR 500MG</t>
  </si>
  <si>
    <t>METAMUCIL FIBER PWDR/DOSE</t>
  </si>
  <si>
    <t>*NYSTATIN/TRIAMCINOLONE TOPICA</t>
  </si>
  <si>
    <t>*MYCELEX 3 CREAM TUBE</t>
  </si>
  <si>
    <t>ESCITALOPRAM 5MG</t>
  </si>
  <si>
    <t>ESCITALOPRAM 20MG</t>
  </si>
  <si>
    <t>ESCITALOPRAM 10MG</t>
  </si>
  <si>
    <t>OXYBUTYNIN ER 5 MG</t>
  </si>
  <si>
    <t>*INSULIN HUMALOG 10ML BOTTLE</t>
  </si>
  <si>
    <t>DIABETIC TEST STRIP EACH</t>
  </si>
  <si>
    <t>*CLINCIAL STRENGTH DEODERANT</t>
  </si>
  <si>
    <t>*INSULIN HUMULIN REG 10ML BOTT</t>
  </si>
  <si>
    <t>METHYLPHENIDATE 20MG</t>
  </si>
  <si>
    <t>METHYLPHENIDATE 10MG TAB</t>
  </si>
  <si>
    <t>METHYLPHENIDATE ER 20MG TAB</t>
  </si>
  <si>
    <t>METOCLOPRAMIDE 10MG TAB</t>
  </si>
  <si>
    <t>NAPROXEN 500MG TABLET</t>
  </si>
  <si>
    <t>PRAZOSIN 1MG TABLET</t>
  </si>
  <si>
    <t>*NEOSPORIN OINTMENT</t>
  </si>
  <si>
    <t>*MICONAZOLE SPRAY</t>
  </si>
  <si>
    <t>NAPROXEN 550MG TAB</t>
  </si>
  <si>
    <t>DIVALPROEX ER 500MG</t>
  </si>
  <si>
    <t>*NICOTINE GUM</t>
  </si>
  <si>
    <t>*NOXZEMA SKIN CREAM</t>
  </si>
  <si>
    <t>CARISOPRODOL 350 MG TAB</t>
  </si>
  <si>
    <t>*PREVIFEM BIRTH CONTROL PILLS</t>
  </si>
  <si>
    <t>*KARIVA BIRTH CONTROL PACK</t>
  </si>
  <si>
    <t>*ORTHO-CEPT 28 PACK B/C</t>
  </si>
  <si>
    <t>*OXY PADS</t>
  </si>
  <si>
    <t>*ORTHO TRI-CYCLEN LO BC PACK</t>
  </si>
  <si>
    <t>ZOLPIDEM CR 12.5 MG5</t>
  </si>
  <si>
    <t>QUETIAPINE 25MG</t>
  </si>
  <si>
    <t>PHENYTOIN EX 100MG</t>
  </si>
  <si>
    <t>PENICILLIN VK 250MG TABLET</t>
  </si>
  <si>
    <t>DOCUSATE LAXATIVE</t>
  </si>
  <si>
    <t>*PREPARATION H SUPP BOX</t>
  </si>
  <si>
    <t>*KAOPECTATE</t>
  </si>
  <si>
    <t>PAROXETINE 20 MG TAB</t>
  </si>
  <si>
    <t>*PROVENTIL 90MCG INHALER HFA</t>
  </si>
  <si>
    <t>*KETOCONAZOLE SHAMPOO</t>
  </si>
  <si>
    <t>*PREPARATION H HC CREAM 1%TOP</t>
  </si>
  <si>
    <t>*FLUOXETINE 20MG/5ML LIQUID</t>
  </si>
  <si>
    <t>*SULFACETAMIDE 10% EYEDROPS</t>
  </si>
  <si>
    <t>*CARBAMAZEPINE 100MG/5ML 450ML</t>
  </si>
  <si>
    <t>PREDNISONE 20MG TABLET</t>
  </si>
  <si>
    <t>FAMOTIDINE 20MG</t>
  </si>
  <si>
    <t>*PAROXETINE 10MG/5ML LIQ 250ML</t>
  </si>
  <si>
    <t>LANSOPRAZOLE 30 MG</t>
  </si>
  <si>
    <t>RISPERIDONE 1MG TABLET</t>
  </si>
  <si>
    <t>RISPERIDONE 2MG TABLET</t>
  </si>
  <si>
    <t>RISPERIDONE 3MG TABLET</t>
  </si>
  <si>
    <t>*RISPERIDONE 1MG/ML 30ML</t>
  </si>
  <si>
    <t>RISPERIDONE 0.5MG TABLET</t>
  </si>
  <si>
    <t>RISPERIDONE 0.25MG TABLET</t>
  </si>
  <si>
    <t>RISPERDALL 1.5MG</t>
  </si>
  <si>
    <t>*TRETINOIN A .01% TOPICAL</t>
  </si>
  <si>
    <t>RISPERIDONE 4MG TABLET</t>
  </si>
  <si>
    <t>*EXPECTORANT SYP DM</t>
  </si>
  <si>
    <t>*GUAIFENESIN/CODEINE PE</t>
  </si>
  <si>
    <t>MONTELUKAST 10 MG TAB</t>
  </si>
  <si>
    <t>MONTELUKAST 5 MG CHEWABLE</t>
  </si>
  <si>
    <t>SAPHRIS 2.5MG</t>
  </si>
  <si>
    <t>COLD &amp; ALLERGY TABLETS</t>
  </si>
  <si>
    <t>TETRACYCLINE 250MG CAP</t>
  </si>
  <si>
    <t>*TRI-PHASIL-28 BC PACK</t>
  </si>
  <si>
    <t>*PEG</t>
  </si>
  <si>
    <t>CHLORPROMAZINE 75MG</t>
  </si>
  <si>
    <t>CHLORPROMAZINE 50MG</t>
  </si>
  <si>
    <t>TETRACYCLINE 500MG CAP</t>
  </si>
  <si>
    <t>*HERPECIN L</t>
  </si>
  <si>
    <t>TRAZODONE 50MG TABLET</t>
  </si>
  <si>
    <t>TRAZODONE 100MG</t>
  </si>
  <si>
    <t>TRAZODONE 25MG</t>
  </si>
  <si>
    <t>TRAZODONE 75MG</t>
  </si>
  <si>
    <t>*TERCONAZOLE VAG 3 CREAM</t>
  </si>
  <si>
    <t>*GAUZE PADS 3X3</t>
  </si>
  <si>
    <t>DILTIAZEM ER 120 MG</t>
  </si>
  <si>
    <t>*TINACTIN POWDER</t>
  </si>
  <si>
    <t>TRIHEXYPHENIDYL 2MG TABLET</t>
  </si>
  <si>
    <t>FLUVOXAMINE 100MG</t>
  </si>
  <si>
    <t>*TRI PHASIL BC PACK</t>
  </si>
  <si>
    <t>OMEPRAZOLE 40MG CAP</t>
  </si>
  <si>
    <t>*VENTOLIN HFA 90MCG 18GM INHAL</t>
  </si>
  <si>
    <t>CARBAMAZEPINE ER 200 MG CAPS</t>
  </si>
  <si>
    <t>*TRIAMCINOLON CREAM 1 TUBE</t>
  </si>
  <si>
    <t>*TRIAMCINOLON/ORABASE CREAM.1%</t>
  </si>
  <si>
    <t>*TRIMCINOLONE 40MG/ML INJ</t>
  </si>
  <si>
    <t>THIORIDAZINE 25MG TABLET</t>
  </si>
  <si>
    <t>ACETAMINOPHEN 325 MG</t>
  </si>
  <si>
    <t>ACETAMINOPHEN W/CODEINE #3</t>
  </si>
  <si>
    <t>ABILIFY 2MG</t>
  </si>
  <si>
    <t>ACETAMINOPHEN 500MG TAB</t>
  </si>
  <si>
    <t>MIRTAZEPINE 7.5 MG</t>
  </si>
  <si>
    <t>APAP/CODEINE SOL LIQ 120-12.5</t>
  </si>
  <si>
    <t>CHLORPROMAZINE 25MG</t>
  </si>
  <si>
    <t>CHLORPROMAZINE 100MG</t>
  </si>
  <si>
    <t>BENZTROPINE 1MG/ML INJ</t>
  </si>
  <si>
    <t>CHLORPROMAZINE 200MG</t>
  </si>
  <si>
    <t>PAROXETINE CR 25 MG</t>
  </si>
  <si>
    <t>CELEBREX 100 MG CAP</t>
  </si>
  <si>
    <t>CELEBREX 200 MG CAP</t>
  </si>
  <si>
    <t>MYCOPHENOLATEMOFE 250MG TAB</t>
  </si>
  <si>
    <t>MYCOPHENOLATEMOFE 500MG</t>
  </si>
  <si>
    <t>*AVIANE BC PACK</t>
  </si>
  <si>
    <t>ATORVASTATIN 40 MG</t>
  </si>
  <si>
    <t>*VALPORIC ACID 2250MG/5ML BOTT</t>
  </si>
  <si>
    <t>*ENPRESSE BC PACK</t>
  </si>
  <si>
    <t>*EPIFOAM AEROSOL 1%</t>
  </si>
  <si>
    <t>GABITRIL 4MG TAB</t>
  </si>
  <si>
    <t>*LOTION VASELINE INTENSIVE CAR</t>
  </si>
  <si>
    <t>FLUCONAZOLE 50MG TAB</t>
  </si>
  <si>
    <t>*OXY BALANCE MAX STRGTH WASH</t>
  </si>
  <si>
    <t>GRISOFULVIN 250 MG</t>
  </si>
  <si>
    <t>PENICILLIN VK 500 MG TAB</t>
  </si>
  <si>
    <t>PEN V 250MG/ML 100ML BOTTLE</t>
  </si>
  <si>
    <t>*UNIFINE FLEXPEN NEEDLES 8MM</t>
  </si>
  <si>
    <t>*INSULIN SYRG MIS 1ML/30G 1BOX</t>
  </si>
  <si>
    <t>*INSULIN PEN NEEDLES BOX</t>
  </si>
  <si>
    <t>AMPHETAMINE SALT COMBO 25 MG</t>
  </si>
  <si>
    <t>DICYCLOMINE 10MG CAPSULE</t>
  </si>
  <si>
    <t>DICYCLOMINE 20MG</t>
  </si>
  <si>
    <t>CARBAMAZEPINE XR 200 MG TAB</t>
  </si>
  <si>
    <t>BUPROPION 100MG TABLET</t>
  </si>
  <si>
    <t>BUPROPION 75MG TABLET</t>
  </si>
  <si>
    <t>BUPROPION 50 MG</t>
  </si>
  <si>
    <t>BUPROPION SR 100MG TABLET</t>
  </si>
  <si>
    <t>LISDEXAMFETAMINE 60 MG</t>
  </si>
  <si>
    <t>AMANTADINE 100MG</t>
  </si>
  <si>
    <t>*BENZAMYCIN GEL</t>
  </si>
  <si>
    <t>SENNOSIDES LAXATIVE</t>
  </si>
  <si>
    <t>CARBAMAZEPINE XR 100 MG TAB</t>
  </si>
  <si>
    <t>ZOMIG 5MG</t>
  </si>
  <si>
    <t>*DIABETIC ONE TOUCH ULTRA STRI</t>
  </si>
  <si>
    <t>*TUMS PER ROLL</t>
  </si>
  <si>
    <t>DEXMETHYLPHENIDATE HCL 5 MG</t>
  </si>
  <si>
    <t>OXCARBAZEPINE 600 MG</t>
  </si>
  <si>
    <t>AMITRIPTLIN 10MG TABLET</t>
  </si>
  <si>
    <t>THROAT LOZENGES</t>
  </si>
  <si>
    <t>MULTI VITAMIN TABLET</t>
  </si>
  <si>
    <t>MULTI VITAMIN W/IRON</t>
  </si>
  <si>
    <t>CIMETIDINE 800MG</t>
  </si>
  <si>
    <t>LAMOTRIGINE 150 MG</t>
  </si>
  <si>
    <t>LAMOTRIGINE 200 MG</t>
  </si>
  <si>
    <t>LUNESTA 2MG TAB</t>
  </si>
  <si>
    <t>LATUDA</t>
  </si>
  <si>
    <t>STRATTERA 40MG</t>
  </si>
  <si>
    <t>STRATTERA 60MG</t>
  </si>
  <si>
    <t>NICOTINE PATCH 14MG EACH</t>
  </si>
  <si>
    <t>*MOLESKIN PACK</t>
  </si>
  <si>
    <t>*TETANUS TOX INJ</t>
  </si>
  <si>
    <t>*CLOTRIMAZOLE VAG CR</t>
  </si>
  <si>
    <t>*EXTENDED BAR LARGE</t>
  </si>
  <si>
    <t>*CLOTRIM/BETA 1-0.05% CREAM</t>
  </si>
  <si>
    <t>AMPHETAMINE SALT COMBO 20MG</t>
  </si>
  <si>
    <t>AMPHETAMINE SALT COMBO XR 15MG</t>
  </si>
  <si>
    <t>VENLAFAXINE 150 MG XL</t>
  </si>
  <si>
    <t>*HYDROCORTISONE 2.5%PACK</t>
  </si>
  <si>
    <t>*FLUOCINONIDE TOPICAL</t>
  </si>
  <si>
    <t>*SYMBICORT MDI 160/4.5 MCG</t>
  </si>
  <si>
    <t>SUMATRIPTAN 50MG TABLET</t>
  </si>
  <si>
    <t>SUMATRIPTAN 25MG TABLET</t>
  </si>
  <si>
    <t>HEALTH SHAKE</t>
  </si>
  <si>
    <t>PHENAZOPYRIDINE 200 MG</t>
  </si>
  <si>
    <t>*MINASTRIN CHEW BIRTH CONT 28</t>
  </si>
  <si>
    <t>ALBUTEROL NEB 0.083% BOX</t>
  </si>
  <si>
    <t>*TRI-LEVLEN 28 BC PACK</t>
  </si>
  <si>
    <t>*PSEUDOEPHEDRINE PE TABLET BOX</t>
  </si>
  <si>
    <t>*PROMETHAZINE 25MG INJ EACH</t>
  </si>
  <si>
    <t>*PROMETHAZINE GEL 12.5MG EACH</t>
  </si>
  <si>
    <t>LISDEXAMFESTAMINE 70 MG</t>
  </si>
  <si>
    <t>PROMETHAZINE 25 MG TAB</t>
  </si>
  <si>
    <t>METHYLPHENIDATE 5MG TAB</t>
  </si>
  <si>
    <t>ATENOLOL 25 MG TABLET</t>
  </si>
  <si>
    <t>ATENOLOL 50MG TABLET</t>
  </si>
  <si>
    <t>PHILLIPS COLON HEALTH</t>
  </si>
  <si>
    <t>HYDROXY PAM  100MG</t>
  </si>
  <si>
    <t>*DIABETIC LANCETS 100 CT BOX</t>
  </si>
  <si>
    <t>DIMETAPP EXTEND TAB</t>
  </si>
  <si>
    <t>PAROXETINE 10 MG TAB</t>
  </si>
  <si>
    <t>*COMPOUND W AER FREEZE</t>
  </si>
  <si>
    <t>RANITIDINE 300MG TABLET</t>
  </si>
  <si>
    <t>SERTRALINE 150MG</t>
  </si>
  <si>
    <t>ERYTHROMYCIN 400 MG</t>
  </si>
  <si>
    <t>*AZITHROMYCIN 100MG/5ML 30ML</t>
  </si>
  <si>
    <t>METRONIDAZOLE 250MG TABLET</t>
  </si>
  <si>
    <t>LEVOCETIRIZINE 5 MG</t>
  </si>
  <si>
    <t>EPSOM SALT 4LB</t>
  </si>
  <si>
    <t>*HEMORRHOIDAL OINTMENT</t>
  </si>
  <si>
    <t>*TOLNAFTAT CREAM 1%</t>
  </si>
  <si>
    <t>*BECONASE AQ NASAL SPRAY 42MCG</t>
  </si>
  <si>
    <t>*TINACTIN 1% AEROSOL SCHE</t>
  </si>
  <si>
    <t>TRAZODONE 150MG TAB</t>
  </si>
  <si>
    <t>*GUAIFENESIN DM SYRUP</t>
  </si>
  <si>
    <t>*AZITHROMAX 250MG PACKIZER</t>
  </si>
  <si>
    <t>RANTIDINE 150MG TABLET</t>
  </si>
  <si>
    <t>AMPHETAMINE SALT COMBO 10MG</t>
  </si>
  <si>
    <t>AMPHETAMINE SALT COMBO XR 10MG</t>
  </si>
  <si>
    <t>BENZTROPHINE .5MG TAB</t>
  </si>
  <si>
    <t>DEXTROAMPHETAMINE 5 MG</t>
  </si>
  <si>
    <t>METHYLPHENIDATE 5MG/5ML LIQ/DO</t>
  </si>
  <si>
    <t>PRENATAL VITAMINE</t>
  </si>
  <si>
    <t>MINOCYCLINE 50MG</t>
  </si>
  <si>
    <t>VITAMIN E CAPSULES</t>
  </si>
  <si>
    <t>AMPHETAMINE SALT COMBO XR 5MG</t>
  </si>
  <si>
    <t>*COCOA BUTTER SILK</t>
  </si>
  <si>
    <t>FOCALIN XR 30 MG</t>
  </si>
  <si>
    <t>FOLIC ACID 0.4MG</t>
  </si>
  <si>
    <t>FOLIC ACID 2MG</t>
  </si>
  <si>
    <t>AMPHETAMINE SALT COMB XR 7.5MG</t>
  </si>
  <si>
    <t>AMPHETAMINE SALT COMBO 15MG</t>
  </si>
  <si>
    <t>AMPHETAMINE SALT COMBO XR 30MG</t>
  </si>
  <si>
    <t>MEDROXYPROGESTERONE 10MG</t>
  </si>
  <si>
    <t>DEXTROAMPHETAMINE ER 15 MG</t>
  </si>
  <si>
    <t>SMZ/TMP DS 800-160 TAB</t>
  </si>
  <si>
    <t>*ALBUTEROL 90MG INHALER</t>
  </si>
  <si>
    <t>SONATA 5MG</t>
  </si>
  <si>
    <t>*ZOVIRAX OINTMENT 5%</t>
  </si>
  <si>
    <t>*PSCORCON CREAM 30GM</t>
  </si>
  <si>
    <t>CEPHALEXIN 500MG</t>
  </si>
  <si>
    <t>FLUCONAZOLR 150MG</t>
  </si>
  <si>
    <t>FLUCONAZOLE 200MG</t>
  </si>
  <si>
    <t>*DIFFERIN CREAM PER TUBE</t>
  </si>
  <si>
    <t>METHYLPHENIDATE ER 54MG</t>
  </si>
  <si>
    <t>METHLYPHENIDATE ER 36MG TAB</t>
  </si>
  <si>
    <t>CONCERTA 18MG</t>
  </si>
  <si>
    <t>CONCERTA ER 27 MG</t>
  </si>
  <si>
    <t>CLARITHROMYCIN 500MG</t>
  </si>
  <si>
    <t>*BICILLIN CR 1,200,000 IM INJ</t>
  </si>
  <si>
    <t>*PSEUDOEPHEDRINE LIQ</t>
  </si>
  <si>
    <t>OLANZAPINE 5 MG</t>
  </si>
  <si>
    <t>OLANZAPINE 2.5 MG</t>
  </si>
  <si>
    <t>OLANZAPINE 7.5 MG</t>
  </si>
  <si>
    <t>OLANZAPINE 10 MG</t>
  </si>
  <si>
    <t>OLANZAPINE 20 MG</t>
  </si>
  <si>
    <t>OLANZAPINE 15 MG</t>
  </si>
  <si>
    <t>DESIPRAMINE 100 MG</t>
  </si>
  <si>
    <t>DESIPRAMINE 50 MG</t>
  </si>
  <si>
    <t>DIVALPROEX DR 250MG D20</t>
  </si>
  <si>
    <t>DIVALPROEX ER 250 MG</t>
  </si>
  <si>
    <t>HALOPERIDOL 2 MG</t>
  </si>
  <si>
    <t>FLUVOXAMINE 50MG TAB</t>
  </si>
  <si>
    <t>FLUVOXAMINE 25MG TAB</t>
  </si>
  <si>
    <t>DEXTROAMPHETAMINE ER 5 MG</t>
  </si>
  <si>
    <t>DEXTROAMPHETAMINE ER 10 MG</t>
  </si>
  <si>
    <t>THERA-M VITAMIN TABLET</t>
  </si>
  <si>
    <t>HYDROXYZINE PAM 25 MG</t>
  </si>
  <si>
    <t>DOCUSATE 30MG CAPSULE</t>
  </si>
  <si>
    <t>*CREST TOOTHPASTE</t>
  </si>
  <si>
    <t>*CUREL LOTION</t>
  </si>
  <si>
    <t>HYDROXYZ HCL 50MG</t>
  </si>
  <si>
    <t>*SALINE MIST SPRAY</t>
  </si>
  <si>
    <t>ATORVASTATIN 20 MG</t>
  </si>
  <si>
    <t>*NECON 1/35 35MCG-BC PACK</t>
  </si>
  <si>
    <t>DICYCLOMINE SOL 10MG/5ML</t>
  </si>
  <si>
    <t>TRAMADOL 50MG TAB</t>
  </si>
  <si>
    <t>*PEDIASURE 8OZ CAN</t>
  </si>
  <si>
    <t>DIVALPROEX DR 125MG TAB</t>
  </si>
  <si>
    <t>SERTRALINE 50MG</t>
  </si>
  <si>
    <t>SIMVASTATIN 20MG</t>
  </si>
  <si>
    <t>DESIPRAMINE 25MG</t>
  </si>
  <si>
    <t>METHAMPHETAMINE 5MG</t>
  </si>
  <si>
    <t>*BEN GAY TOPICAL</t>
  </si>
  <si>
    <t>ABILIFY 10MG</t>
  </si>
  <si>
    <t>ABILIFY 15 MG</t>
  </si>
  <si>
    <t>ABILIFY 20MG</t>
  </si>
  <si>
    <t>ABILIFY 30MG</t>
  </si>
  <si>
    <t>*RHINOCORT AQUA NASAL SPRAY</t>
  </si>
  <si>
    <t>GABAPENTIN 400 MG CAP</t>
  </si>
  <si>
    <t>GABAPENTIN 300 MG</t>
  </si>
  <si>
    <t>GABAPENTIN 200 MG</t>
  </si>
  <si>
    <t>GABAPENTIN 100 MG</t>
  </si>
  <si>
    <t>MIRALAX 17 GM/DOSE GEN</t>
  </si>
  <si>
    <t>TRIHEXYPHENIDYL 5MG</t>
  </si>
  <si>
    <t>PROPRANOLOL LA 80 MG</t>
  </si>
  <si>
    <t>DEXMETHYLPHENIDATE 10MG</t>
  </si>
  <si>
    <t>DEXMETHYLPHENIDATE 30 MG</t>
  </si>
  <si>
    <t>DEXMETHYLPHENIDATE XR 40 MG</t>
  </si>
  <si>
    <t>DEXMETHYLPHENIDATE ER 25MG</t>
  </si>
  <si>
    <t>DEXMETHYLPHENIDATE XR 10 MG</t>
  </si>
  <si>
    <t>DEXMETHYLPHENIDATE XR 15 MG</t>
  </si>
  <si>
    <t>FOCALIN XR 25MG</t>
  </si>
  <si>
    <t>MINOCYCLINE 100MG</t>
  </si>
  <si>
    <t>TROSPIUM 20 MG</t>
  </si>
  <si>
    <t>DRIMINATE 50MG</t>
  </si>
  <si>
    <t>DIMENHYDRAMINATE 50 MG</t>
  </si>
  <si>
    <t>*ASMANEX INHALER</t>
  </si>
  <si>
    <t>*MOMETASONE CREAM</t>
  </si>
  <si>
    <t>*LACTULOSE 473ML</t>
  </si>
  <si>
    <t>DEXMETHYLPHENIDATE HCL 10 MG</t>
  </si>
  <si>
    <t>CHLORHEX GLU SOL</t>
  </si>
  <si>
    <t>OXCARBAZEPINE 300 MG</t>
  </si>
  <si>
    <t>*COLD &amp; HOT TOPICAL</t>
  </si>
  <si>
    <t>*METRONIDAZOL CRE 0.75%</t>
  </si>
  <si>
    <t>ZIPRASIDONE HCL 20MG</t>
  </si>
  <si>
    <t>BENEFIBER 2 OZ SERVING</t>
  </si>
  <si>
    <t>*EARWAX REMOVAL DROPS</t>
  </si>
  <si>
    <t>*GENTAMICIN 0.3% OPTH OINT</t>
  </si>
  <si>
    <t>LOVASTATIN 40MG</t>
  </si>
  <si>
    <t>MUCINEX DM TABS</t>
  </si>
  <si>
    <t>DICIORENAC 50 MG</t>
  </si>
  <si>
    <t>LYSINE TABLET</t>
  </si>
  <si>
    <t>L-METHYLFOLATE 15 MG CAP</t>
  </si>
  <si>
    <t>*VAGISIL MAX STRENGTH</t>
  </si>
  <si>
    <t>BUSPIRONE 30MG</t>
  </si>
  <si>
    <t>*DIMETAPP LIQUID BOTTLE</t>
  </si>
  <si>
    <t>*LIQUID NITROGEN SPRAY</t>
  </si>
  <si>
    <t>NITROFURANTOIN 100 MG</t>
  </si>
  <si>
    <t>SULINDAC 200MG</t>
  </si>
  <si>
    <t>*PROCTOFOAM HC</t>
  </si>
  <si>
    <t>ZIPRASIDONE HCL 40MG</t>
  </si>
  <si>
    <t>*CHLORPROMAZINE 25MG 2ML INJ E</t>
  </si>
  <si>
    <t>*SELENIUM SULFIDE LOTION</t>
  </si>
  <si>
    <t>LEVETIRACETAM 1000 MG</t>
  </si>
  <si>
    <t>LAMOTRIGINE 50 MG</t>
  </si>
  <si>
    <t>PHENAZOPYRIDINE 100 MG</t>
  </si>
  <si>
    <t>BUPROPION XL 300 MG</t>
  </si>
  <si>
    <t>LEVOTHYROXINE 100 MCG</t>
  </si>
  <si>
    <t>*SMZ/TMP 200-400/5ML SUSP</t>
  </si>
  <si>
    <t>*SMZ-TMP SUS 200-40/5ML</t>
  </si>
  <si>
    <t>ABILIFY 5 MG</t>
  </si>
  <si>
    <t>STRATTERA 50 MG</t>
  </si>
  <si>
    <t>STRATTERA 25MG</t>
  </si>
  <si>
    <t>*ORTHOEVRA TRANSDERM PATCH</t>
  </si>
  <si>
    <t>DEPAKOTE ER 250MG TAB</t>
  </si>
  <si>
    <t>MUCINEX 600MG TAB</t>
  </si>
  <si>
    <t>*SEASONALE 3 MO. SUPPLY</t>
  </si>
  <si>
    <t>*TRI SPRINTEC 28 DAY</t>
  </si>
  <si>
    <t>POTASSIUM CHLORIDE 10 MEQ</t>
  </si>
  <si>
    <t>SERTRALINE 25MG</t>
  </si>
  <si>
    <t>OXYBUTYNIN 5 MG</t>
  </si>
  <si>
    <t>NIZATIDINE 300 MG</t>
  </si>
  <si>
    <t>*EXTENDED BAR SMALL</t>
  </si>
  <si>
    <t>METHYLPHENIDATE ER (LACD)30MG</t>
  </si>
  <si>
    <t>*LEVETIRACETAM 100MG/ML SOLN</t>
  </si>
  <si>
    <t>*RANTIDINE 75MG/5ML SYRUP 30ML</t>
  </si>
  <si>
    <t>THROAT LOZENGE EACH</t>
  </si>
  <si>
    <t>*WRIST BRACE ELASTIC</t>
  </si>
  <si>
    <t>NIZATIDINE 150 MG</t>
  </si>
  <si>
    <t>STRATTERA 18MG</t>
  </si>
  <si>
    <t>*ARTIFICIAL TEARS</t>
  </si>
  <si>
    <t>EFFEXOR XR 225MG</t>
  </si>
  <si>
    <t>STRATTERA 10MG</t>
  </si>
  <si>
    <t>ENALAPRIL 10MG</t>
  </si>
  <si>
    <t>LAMOTRIGINE 100 MG</t>
  </si>
  <si>
    <t>OXYCODONE 7.5/APAP TAB</t>
  </si>
  <si>
    <t>AMPICILLIN 250MG</t>
  </si>
  <si>
    <t>PRAZOSIN HCL 2MG</t>
  </si>
  <si>
    <t>ALPRAZOLAM 0.5MG</t>
  </si>
  <si>
    <t>ZOMIG 2.5MG</t>
  </si>
  <si>
    <t>LOVASTATIN 20MG</t>
  </si>
  <si>
    <t>PIOGLITAZONE 30 MG</t>
  </si>
  <si>
    <t>*INSULIN HUMULIN N 10ML BOTTLE</t>
  </si>
  <si>
    <t>*BREATHRIGHT STRIPS</t>
  </si>
  <si>
    <t>FEXOFENADINE D</t>
  </si>
  <si>
    <t>OMEPRAZOLE 20 MG</t>
  </si>
  <si>
    <t>*GUAIFENESIN/PHENHYLEPHRINE</t>
  </si>
  <si>
    <t>METHYLPHENIDATE ER (LACD)40MG</t>
  </si>
  <si>
    <t>*FORADIL 12MCG INHALER</t>
  </si>
  <si>
    <t>*PERMETHRIN 55 TOPICAL</t>
  </si>
  <si>
    <t>*LEVEMIR INJ FLEXPEN</t>
  </si>
  <si>
    <t>FSBS-BLOOD SUGAR FINGER STICKS</t>
  </si>
  <si>
    <t>NITROFURANTOIN 50 MG</t>
  </si>
  <si>
    <t>LEVOTHYROXINE 25 MCG</t>
  </si>
  <si>
    <t>*SILVER SULFADIAZINE SSD CREAM</t>
  </si>
  <si>
    <t>*VITAMNIN E CREAM</t>
  </si>
  <si>
    <t>*BABY SHAMPOO 1 OZ.</t>
  </si>
  <si>
    <t>METHYLPHENIDATE ER (LACD)20 MG</t>
  </si>
  <si>
    <t>METHYLPREDNISOLONE 4MG</t>
  </si>
  <si>
    <t>OLANZAPINE ZYDIS 5 MG</t>
  </si>
  <si>
    <t>POTASSIUM CHLORIDE 20 MEQ</t>
  </si>
  <si>
    <t>HYDROXYCHLOROQUINE 200 MG</t>
  </si>
  <si>
    <t>DILTIAZEM ER 180 MG</t>
  </si>
  <si>
    <t>BUPROPION XL 150 MG</t>
  </si>
  <si>
    <t>*PROMETHAZIME SYRUP 30ML</t>
  </si>
  <si>
    <t>LANSOPRAZOLE 15 MG</t>
  </si>
  <si>
    <t>*ODOR DESTROYERS FOR SHOES</t>
  </si>
  <si>
    <t>*FLEETS ENEMA</t>
  </si>
  <si>
    <t>*TUBERCULIN PPD INJ 5TU/0.1ML</t>
  </si>
  <si>
    <t>*TERCONAZOLE-1 CREAM</t>
  </si>
  <si>
    <t>CYMBALTA 30MG CAP</t>
  </si>
  <si>
    <t>CYMBALTA 20MG CAP</t>
  </si>
  <si>
    <t>CYMBALTA 60MG CAPS</t>
  </si>
  <si>
    <t>LOPERAMIDE 2MG</t>
  </si>
  <si>
    <t>*HYDROGEN PEROXIDE BOTTLE</t>
  </si>
  <si>
    <t>METOPROLOL ER 25MG</t>
  </si>
  <si>
    <t>MELATONIN 1 MG</t>
  </si>
  <si>
    <t>ABILIFY 7.5 MG</t>
  </si>
  <si>
    <t>FLOURIDE 1.1MG TABLET</t>
  </si>
  <si>
    <t>MELATONIN 10 MG</t>
  </si>
  <si>
    <t>*ADVAIR DISCUS 250/50</t>
  </si>
  <si>
    <t>DIPHENOXYLATE/ATROPINE TAB</t>
  </si>
  <si>
    <t>*ADVAIR DISCUSS 100/50</t>
  </si>
  <si>
    <t>MONTELUKAST 4 MG CHEWABLE</t>
  </si>
  <si>
    <t>*TRETINOIN CREAM</t>
  </si>
  <si>
    <t>PEG 17 GM/DOSE</t>
  </si>
  <si>
    <t>*IPECAC PER BOTTLE</t>
  </si>
  <si>
    <t>*KERI AGE DEFYING LOTION</t>
  </si>
  <si>
    <t>*TAMIFLU TABLETS PACK</t>
  </si>
  <si>
    <t>DEXMETHYLPHENIDATE XR 20 MG</t>
  </si>
  <si>
    <t>DEXMETHYL XR 5MG</t>
  </si>
  <si>
    <t>DOXEPIN HCL 25MG</t>
  </si>
  <si>
    <t>ENALAPRIL 2.5MG</t>
  </si>
  <si>
    <t>ENALAPRIL 5MG</t>
  </si>
  <si>
    <t>AMOXCILLIN 400MG</t>
  </si>
  <si>
    <t>AMOXICILLIN 600 MG</t>
  </si>
  <si>
    <t>CHLORZOXAZONE 500MG</t>
  </si>
  <si>
    <t>*METHYLPREDNISOLONE DOSPAK</t>
  </si>
  <si>
    <t>*HYGIENIC CLEANSING PADS</t>
  </si>
  <si>
    <t>*COMPOUND W</t>
  </si>
  <si>
    <t>*CORN PADS</t>
  </si>
  <si>
    <t>*ARM SPLINT</t>
  </si>
  <si>
    <t>*CRYSELLE 28PK</t>
  </si>
  <si>
    <t>EPIPEN INJ</t>
  </si>
  <si>
    <t>*EPIPEN INJ 2-PAK 0.3 MG</t>
  </si>
  <si>
    <t>DESMOPRESSIN .1MG</t>
  </si>
  <si>
    <t>*FLUNISOLIDE NASAL SPRAY</t>
  </si>
  <si>
    <t>ALPRAZOLAM 2MG</t>
  </si>
  <si>
    <t>*MEDROXYPROGESTERONE INJ 150MG</t>
  </si>
  <si>
    <t>*CLINDAMYCIN 1% BENZOYL PEROXI</t>
  </si>
  <si>
    <t>*EUCERIN CREAM</t>
  </si>
  <si>
    <t>FANAPT 6MG</t>
  </si>
  <si>
    <t>*TUSSIN COUGH SYRUP</t>
  </si>
  <si>
    <t>*CEPHALEXIN 125/5ML 100ML</t>
  </si>
  <si>
    <t>ONDANSETRON 4 MG</t>
  </si>
  <si>
    <t>ENALAPRIL 20MG C-8</t>
  </si>
  <si>
    <t>HYDROCHLOROT 12.5 MG</t>
  </si>
  <si>
    <t>VENLAFAXINE XR 75 MG</t>
  </si>
  <si>
    <t>LITHIUM CARB ER 450MG</t>
  </si>
  <si>
    <t>LITHIUM CARB ER 300 MG</t>
  </si>
  <si>
    <t>MOBAN 25MG</t>
  </si>
  <si>
    <t>FELBATOL 400MG</t>
  </si>
  <si>
    <t>*VIGAMOX DROPS 0.5%</t>
  </si>
  <si>
    <t>*CEPHALEXIN SUS 250/5ML 100ML</t>
  </si>
  <si>
    <t>*CALADRYL LOTION</t>
  </si>
  <si>
    <t>*DIPHENHYDRAMINE 50 MG INJ</t>
  </si>
  <si>
    <t>SMZ-TMP DS 400-80MG</t>
  </si>
  <si>
    <t>HYDROXYZINE HCL 10 MG</t>
  </si>
  <si>
    <t>ABILIFY 9.75 MG IM</t>
  </si>
  <si>
    <t>*PERMETHRIN LICE 1% TOPICAL</t>
  </si>
  <si>
    <t>OLANZAPINE ZYDIS 10 MG</t>
  </si>
  <si>
    <t>AMPHETAMINE SALT COMBO XR 20MG</t>
  </si>
  <si>
    <t>AMPHETAMINE SALT COMBO ER 25MG</t>
  </si>
  <si>
    <t>DAYPRO 600MG</t>
  </si>
  <si>
    <t>ROZEREM 8 MG</t>
  </si>
  <si>
    <t>METHYLPHENIDATE ER (LA CD)10MG</t>
  </si>
  <si>
    <t>DOXEPIN HCL 75MG</t>
  </si>
  <si>
    <t>MELATONIN 5MG</t>
  </si>
  <si>
    <t>QUETIAPINE XR 50MG</t>
  </si>
  <si>
    <t>VITAMIN D 5000U</t>
  </si>
  <si>
    <t>NIFEDIPINE ER 30MG</t>
  </si>
  <si>
    <t>DICLOFENAC 75MG</t>
  </si>
  <si>
    <t>METFORMIN 1000MG</t>
  </si>
  <si>
    <t>QUETIAPINE 400MG</t>
  </si>
  <si>
    <t>QUETIAPINE XR 400MG</t>
  </si>
  <si>
    <t>ALBUTEROL SOLUTION 1.25MG BOX</t>
  </si>
  <si>
    <t>MOBAN 5 MG</t>
  </si>
  <si>
    <t>METAMUCIL WAFER/DOSE</t>
  </si>
  <si>
    <t>METFORMIN 500MG</t>
  </si>
  <si>
    <t>CARBAMAZEPINE ER 300 MG CAPS</t>
  </si>
  <si>
    <t>*HIBICLENS SKIN CLEANSER</t>
  </si>
  <si>
    <t>AZO CRANBERRY</t>
  </si>
  <si>
    <t>INVEGA 6 MG</t>
  </si>
  <si>
    <t>CLINDAMYCIN 300MG</t>
  </si>
  <si>
    <t>PLAN B TREATMENT</t>
  </si>
  <si>
    <t>INVEGA 3 MG</t>
  </si>
  <si>
    <t>INVEGA 9 MG</t>
  </si>
  <si>
    <t>NEXIUM 20MG</t>
  </si>
  <si>
    <t>NEXIUM 40MG</t>
  </si>
  <si>
    <t>HYOSCYAMINE 0.125 MG</t>
  </si>
  <si>
    <t>MONO-LINYA 0.25-.0.35</t>
  </si>
  <si>
    <t>NAMENDA 5 MG TAB</t>
  </si>
  <si>
    <t>NAMENDA 10 MG</t>
  </si>
  <si>
    <t>*CARMEX</t>
  </si>
  <si>
    <t>*ERYTHROMYCIN/SULFISOXASOLE</t>
  </si>
  <si>
    <t>*YAZ</t>
  </si>
  <si>
    <t>AZITHROMYCIN SUS 200/5ML</t>
  </si>
  <si>
    <t>CLONIDINE 0.3MG</t>
  </si>
  <si>
    <t>AZITHROMYCIN 250 MG</t>
  </si>
  <si>
    <t>*SITZ BATH</t>
  </si>
  <si>
    <t>BISACODYL RECTAL SUPP</t>
  </si>
  <si>
    <t>QUETIAPINE XR 300MG</t>
  </si>
  <si>
    <t>LEVOTHYROXIN 150MCG</t>
  </si>
  <si>
    <t>LEVOTHYROXINE 175 MCG</t>
  </si>
  <si>
    <t>PREDNISONE 2.5MG</t>
  </si>
  <si>
    <t>PREDISONE 5MG</t>
  </si>
  <si>
    <t>CULTURELLE</t>
  </si>
  <si>
    <t>METHYLPHENDATE ER 18 MG</t>
  </si>
  <si>
    <t>*ALESSE BC PACK</t>
  </si>
  <si>
    <t>*CEFTRIAXONE 1 GM INJ</t>
  </si>
  <si>
    <t>*ALLERGY EYE DROPS</t>
  </si>
  <si>
    <t>MELOXICAM 15MG F-19</t>
  </si>
  <si>
    <t>*CALCIUM VIT D LIQUID BOTTLE</t>
  </si>
  <si>
    <t>AZITHROMYCIN 500MG</t>
  </si>
  <si>
    <t>VITAMIN B 6</t>
  </si>
  <si>
    <t>DEXMETHYLPHENIDATE 2.5 MG</t>
  </si>
  <si>
    <t>LISINOPRIL 2.5MG</t>
  </si>
  <si>
    <t>*BETADINE TOPICAL</t>
  </si>
  <si>
    <t>*BAG BALM</t>
  </si>
  <si>
    <t>*CLOTRIMAZOLE CREAM</t>
  </si>
  <si>
    <t>RANITIDINE 75MG</t>
  </si>
  <si>
    <t>*AZITHROMYCIN SUS 200MG 15ML</t>
  </si>
  <si>
    <t>*LIDOCAINE SOL 2% VISC</t>
  </si>
  <si>
    <t>ZYRTEC 5MG</t>
  </si>
  <si>
    <t>TIZANIDINE 2MG</t>
  </si>
  <si>
    <t>*CLOTRIMAZOLE SOL 1 % TOPICAL</t>
  </si>
  <si>
    <t>*AFRIN NASAL SPRAY</t>
  </si>
  <si>
    <t>*LOTION BODY</t>
  </si>
  <si>
    <t>*DOCU LIQUID 150/15ML</t>
  </si>
  <si>
    <t>PREDNISONE 10 MG</t>
  </si>
  <si>
    <t>*ABREVA CREAM</t>
  </si>
  <si>
    <t>*ANBESOL GEL</t>
  </si>
  <si>
    <t>TOPIRAMATE 25 MG</t>
  </si>
  <si>
    <t>TOPIRAMATE 100 MG</t>
  </si>
  <si>
    <t>*FLUVIRIN INJ</t>
  </si>
  <si>
    <t>ETODOLAC 400MG TABS</t>
  </si>
  <si>
    <t>*NOVOLOG INJ FLEXPEN/BOX</t>
  </si>
  <si>
    <t>*BISMUTH SUBSALICYLATE LIQUID</t>
  </si>
  <si>
    <t>*AFTATE SPRAY PWD</t>
  </si>
  <si>
    <t>AMOXICILLIN 250MG CHEWABLES</t>
  </si>
  <si>
    <t>CARBAMAZEPINE CHEW 100MG</t>
  </si>
  <si>
    <t>MILK OF MAGNESIA PER DOSE</t>
  </si>
  <si>
    <t>METRONIDAZOLE 500MG TAB</t>
  </si>
  <si>
    <t>ISOMETH/APAP/DICHLOR CAP</t>
  </si>
  <si>
    <t>FLUVOXAMINE CR 100MG</t>
  </si>
  <si>
    <t>PAROXETINE 30 MG</t>
  </si>
  <si>
    <t>FLUVOXAMINE CR 150 MG</t>
  </si>
  <si>
    <t>*BISMUTH SUBSALICYLATE TABS</t>
  </si>
  <si>
    <t>PAROXETINE 40 MG</t>
  </si>
  <si>
    <t>*SELENIUM SULFIDE SHAMPOO</t>
  </si>
  <si>
    <t>*ORA JEL</t>
  </si>
  <si>
    <t>ASPIRIN 81MG CHEW TABS</t>
  </si>
  <si>
    <t>ORAP 2 MG</t>
  </si>
  <si>
    <t>CEFUROXIME 250MG TAB</t>
  </si>
  <si>
    <t>*CHLORPROMAZINE 25MG/ML 1ML IN</t>
  </si>
  <si>
    <t>*CLINDAMYCIN GEL</t>
  </si>
  <si>
    <t>CITALOPRAM 40MG</t>
  </si>
  <si>
    <t>AMOXICILLIN 250MG</t>
  </si>
  <si>
    <t>AMOXICILLIN 250 MG TAB</t>
  </si>
  <si>
    <t>*AMOXICILLIN SUSP 250 MG LIQ</t>
  </si>
  <si>
    <t>QUETIAPINE XR 150MG</t>
  </si>
  <si>
    <t>*DIAPERS</t>
  </si>
  <si>
    <t>OMEGA 3</t>
  </si>
  <si>
    <t>LISDEXAMFETAMINE 20 MG</t>
  </si>
  <si>
    <t>METHYLPHENIDATE ER 27 MG</t>
  </si>
  <si>
    <t>*NOVOLOG 70/30 FLEXPEN/BOX</t>
  </si>
  <si>
    <t>HYDROXYZINE PAM 50 MG</t>
  </si>
  <si>
    <t>*CHIGGER GUARD</t>
  </si>
  <si>
    <t>DESVENLAFAX 50MG ER</t>
  </si>
  <si>
    <t>TAMSULOSIN 0.4MG</t>
  </si>
  <si>
    <t>MYRBETRIQ 50MG</t>
  </si>
  <si>
    <t>*TAR GEL TOPICAL SHAMPOO</t>
  </si>
  <si>
    <t>NAPROXEN 375MG</t>
  </si>
  <si>
    <t>MUPIROCIN TOPICAL</t>
  </si>
  <si>
    <t>CHLORPROMAZINE 10MG</t>
  </si>
  <si>
    <t>*SUN MARK DRY SKIN LOTION</t>
  </si>
  <si>
    <t>*SUN MARK REDNESS EYE DROP REL</t>
  </si>
  <si>
    <t>CEFDINIR 300 MG</t>
  </si>
  <si>
    <t>LISINOPRIL 5MG</t>
  </si>
  <si>
    <t>*TAMIFLU LIQUID</t>
  </si>
  <si>
    <t>ABILIFY 5MG ING</t>
  </si>
  <si>
    <t>TERBINAFINE 250 MG</t>
  </si>
  <si>
    <t>SIMETHICONE 80MG</t>
  </si>
  <si>
    <t>TOPIRAMATE 50 MG</t>
  </si>
  <si>
    <t>ZONISAMIDE 100MG</t>
  </si>
  <si>
    <t>*ZYPREXA 10MG INJ EACH</t>
  </si>
  <si>
    <t>*DIAPER RASH CREAM</t>
  </si>
  <si>
    <t>*KETOCONOAZOLE CREAM</t>
  </si>
  <si>
    <t>*ELIDEL CREAM TUBE</t>
  </si>
  <si>
    <t>*HYDROCORTISONE BUTYRATE TOPIC</t>
  </si>
  <si>
    <t>DAYTRANA 30MG TOPICAL PATCH</t>
  </si>
  <si>
    <t>RIFAMPIN 300 MG</t>
  </si>
  <si>
    <t>LABETALOL 100MG</t>
  </si>
  <si>
    <t>METHYLPHENIDATE ER 60MG CAP</t>
  </si>
  <si>
    <t>METHYLPHENIDATE CD 50MG CAP</t>
  </si>
  <si>
    <t>LISDEXAMFETAMINE 10 MG</t>
  </si>
  <si>
    <t>OXYBUTYNIN 10 MG</t>
  </si>
  <si>
    <t>FAMOTIDINE 40MG</t>
  </si>
  <si>
    <t>FIOINAL</t>
  </si>
  <si>
    <t>ACAMPORSATE CALCIUM 333MG</t>
  </si>
  <si>
    <t>GABAPENTIN 800 MG CAP</t>
  </si>
  <si>
    <t>*VAGINAL CREAM APPLICATOR</t>
  </si>
  <si>
    <t>DANDRUFF SHAMPOO</t>
  </si>
  <si>
    <t>MOUTH WASH</t>
  </si>
  <si>
    <t>ACETAZOLAMIDE 125MG</t>
  </si>
  <si>
    <t>HYOSCYAMINE 0.375 MG</t>
  </si>
  <si>
    <t>REXULTI 2MG</t>
  </si>
  <si>
    <t>CEFUROXIME 500MG TAB</t>
  </si>
  <si>
    <t>*NYSTATIN CREAM TOP</t>
  </si>
  <si>
    <t>REXULTI .5MG</t>
  </si>
  <si>
    <t>*MICONAZOLE 3 CREAM</t>
  </si>
  <si>
    <t>DIMETAPP CHEWABLES</t>
  </si>
  <si>
    <t>*PROAIR HFA INHALER 8.5GM</t>
  </si>
  <si>
    <t>ACYCLOVIR 800MG</t>
  </si>
  <si>
    <t>*PROMETHAZINE TOPICAL GEL</t>
  </si>
  <si>
    <t>AMPHETAMINE SALT COMBO 30MG</t>
  </si>
  <si>
    <t>*DELSYM COUGH SYRUP5ML</t>
  </si>
  <si>
    <t>FANAPT 4MG</t>
  </si>
  <si>
    <t>*CLINDAMYCIN CREAM 2% 40GM</t>
  </si>
  <si>
    <t>TESSALON PERLES 100 MG</t>
  </si>
  <si>
    <t>LEVOTHROXINE 88MCG TAB</t>
  </si>
  <si>
    <t>OXYBUTYNIN 2 MG</t>
  </si>
  <si>
    <t>OMEPRAZOLE 10 MG</t>
  </si>
  <si>
    <t>FOLIC ACID 1 MG</t>
  </si>
  <si>
    <t>*ALDARA 5% CREAM 12 PACKETS</t>
  </si>
  <si>
    <t>*NUVARING ONE MONTH</t>
  </si>
  <si>
    <t>*RISPERIDONE 37.5 IM INJ</t>
  </si>
  <si>
    <t>*HYDROXYZINE HCL SYRUP 10MG/5M</t>
  </si>
  <si>
    <t>*NASONEX NASAL SPRAY 50MCG 17G</t>
  </si>
  <si>
    <t>*LIDOCAINE 2.55/PRILOCAINE 2.5</t>
  </si>
  <si>
    <t>VALPROIC ACID SYRUP 250/5 ML</t>
  </si>
  <si>
    <t>LEVETIRACTAM 750 MG</t>
  </si>
  <si>
    <t>HYDROXYZINE LIQ/DOSE</t>
  </si>
  <si>
    <t>LORATADINE SYRUP 5MG/5ML DOSE</t>
  </si>
  <si>
    <t>OXCARBAZEPINE 150 MG</t>
  </si>
  <si>
    <t>LOXAPINE 10MG</t>
  </si>
  <si>
    <t>*CURITY ULTRA NURSING PADS</t>
  </si>
  <si>
    <t>METADATE 30MG</t>
  </si>
  <si>
    <t>METADATE 60MG</t>
  </si>
  <si>
    <t>GUANFACINE 4MG</t>
  </si>
  <si>
    <t>FIBERTAB TABLETS</t>
  </si>
  <si>
    <t>*OFLEXACIN OTIC SOL</t>
  </si>
  <si>
    <t>*SYSTANE SOL SALINE</t>
  </si>
  <si>
    <t>KETOROLAC 10 MG</t>
  </si>
  <si>
    <t>BUPROPION SR 200 MG</t>
  </si>
  <si>
    <t>*KNEE BRACE</t>
  </si>
  <si>
    <t>*CLINDAMYCIN LOTION</t>
  </si>
  <si>
    <t>MYRBETRIQ 25MG ER</t>
  </si>
  <si>
    <t>CALCITRIOL .5MG</t>
  </si>
  <si>
    <t>HYDROCORTIZONE 20MG TAB</t>
  </si>
  <si>
    <t>VITAMIN D3 400 UNITS</t>
  </si>
  <si>
    <t>MIGRAINE TABLET</t>
  </si>
  <si>
    <t>*LICE TOPICAL TREATMENT</t>
  </si>
  <si>
    <t>*ELBOW BRACE</t>
  </si>
  <si>
    <t>ESTRADIOL 2MG</t>
  </si>
  <si>
    <t>SPIRONOLACTONE 100MG</t>
  </si>
  <si>
    <t>PROTONIX</t>
  </si>
  <si>
    <t>SPIRONOLACTONE</t>
  </si>
  <si>
    <t>STERILE WATER INJ</t>
  </si>
  <si>
    <t>ACIDOPHILLIS OTC</t>
  </si>
  <si>
    <t>LEVOFLOXACIN 750MG</t>
  </si>
  <si>
    <t>LEVOFLOXACINE 500 MG</t>
  </si>
  <si>
    <t>*CRUTCH RENTAL</t>
  </si>
  <si>
    <t>DIVALPROEX DR 500MG</t>
  </si>
  <si>
    <t>PROPRANOLOL ER 160MG</t>
  </si>
  <si>
    <t>*LICE SHAMPOO</t>
  </si>
  <si>
    <t>*GLUCAGON EMERGENCY KIT</t>
  </si>
  <si>
    <t>*GENTAMICIN TOPICAL OINT</t>
  </si>
  <si>
    <t>AMPHETAMINE SALT COMBO 5MG</t>
  </si>
  <si>
    <t>AMPHETAMINE ER 10MG</t>
  </si>
  <si>
    <t>CETIRIZINE LIQUID PER DOSE</t>
  </si>
  <si>
    <t>METADATE ER 40MG</t>
  </si>
  <si>
    <t>CRANBERRY PLUS PROBIOTIC</t>
  </si>
  <si>
    <t>LISINOPRIL 10 MG</t>
  </si>
  <si>
    <t>DOXEPIN HCL 50MG</t>
  </si>
  <si>
    <t>*AYR SALINE GEL</t>
  </si>
  <si>
    <t>PIN-X CHW 250MG</t>
  </si>
  <si>
    <t>DOXAZOSIN 1 MG</t>
  </si>
  <si>
    <t>CALCIUM W/ VITAMIN D TABLET</t>
  </si>
  <si>
    <t>DOXYCYCLINE 50 MG</t>
  </si>
  <si>
    <t>TOPIRAMATE 200 MG</t>
  </si>
  <si>
    <t>SIMETICONE 125MG</t>
  </si>
  <si>
    <t>DEXTROAMPHETAMINE 10 MG</t>
  </si>
  <si>
    <t>DOCUSATE CALCIUM 240 MG</t>
  </si>
  <si>
    <t>ONDANSETRON 8 MG</t>
  </si>
  <si>
    <t>*GOLD BOND MEDIC PWDR</t>
  </si>
  <si>
    <t>TUITION, DAILY</t>
  </si>
  <si>
    <t>PARA PROFESSIONAL</t>
  </si>
  <si>
    <t>PRE &amp; POST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</si>
</sst>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76"/>
  <sheetViews>
    <sheetView tabSelected="1" workbookViewId="0">
      <selection activeCell="F5" sqref="F5"/>
    </sheetView>
  </sheetViews>
  <sheetFormatPr defaultRowHeight="14.4" x14ac:dyDescent="0.3"/>
  <cols>
    <col min="4" max="4" width="12" bestFit="1" customWidth="1"/>
    <col min="6" max="6" width="35.88671875" bestFit="1" customWidth="1"/>
    <col min="12" max="17" width="8.88671875" hidden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17</v>
      </c>
      <c r="B2" t="s">
        <v>18</v>
      </c>
      <c r="C2" t="str">
        <f>"100"</f>
        <v>100</v>
      </c>
      <c r="D2" t="str">
        <f>"6100"</f>
        <v>6100</v>
      </c>
      <c r="E2" t="s">
        <v>19</v>
      </c>
      <c r="F2" t="s">
        <v>20</v>
      </c>
      <c r="G2">
        <v>129</v>
      </c>
      <c r="I2">
        <v>475</v>
      </c>
      <c r="J2">
        <v>0</v>
      </c>
      <c r="K2" t="str">
        <f>"30000"</f>
        <v>30000</v>
      </c>
      <c r="L2" t="str">
        <f t="shared" ref="L2:N6" si="0">"0"</f>
        <v>0</v>
      </c>
      <c r="M2" t="str">
        <f t="shared" si="0"/>
        <v>0</v>
      </c>
      <c r="N2" t="str">
        <f t="shared" si="0"/>
        <v>0</v>
      </c>
    </row>
    <row r="3" spans="1:17" x14ac:dyDescent="0.3">
      <c r="A3" t="s">
        <v>17</v>
      </c>
      <c r="B3" t="s">
        <v>18</v>
      </c>
      <c r="C3" t="str">
        <f>"125"</f>
        <v>125</v>
      </c>
      <c r="D3" t="str">
        <f>"3100"</f>
        <v>3100</v>
      </c>
      <c r="E3" t="s">
        <v>19</v>
      </c>
      <c r="F3" t="s">
        <v>21</v>
      </c>
      <c r="G3">
        <v>124</v>
      </c>
      <c r="H3" t="str">
        <f>""</f>
        <v/>
      </c>
      <c r="I3">
        <v>675</v>
      </c>
      <c r="J3">
        <v>0</v>
      </c>
      <c r="K3" t="str">
        <f>"30000"</f>
        <v>30000</v>
      </c>
      <c r="L3" t="str">
        <f t="shared" si="0"/>
        <v>0</v>
      </c>
      <c r="M3" t="str">
        <f t="shared" si="0"/>
        <v>0</v>
      </c>
      <c r="N3" t="str">
        <f t="shared" si="0"/>
        <v>0</v>
      </c>
    </row>
    <row r="4" spans="1:17" x14ac:dyDescent="0.3">
      <c r="A4" t="s">
        <v>17</v>
      </c>
      <c r="B4" t="s">
        <v>18</v>
      </c>
      <c r="C4" t="str">
        <f>"150"</f>
        <v>150</v>
      </c>
      <c r="D4" t="str">
        <f>"5100"</f>
        <v>5100</v>
      </c>
      <c r="E4" t="s">
        <v>19</v>
      </c>
      <c r="F4" t="s">
        <v>22</v>
      </c>
      <c r="G4">
        <v>129</v>
      </c>
      <c r="I4">
        <v>475</v>
      </c>
      <c r="J4">
        <v>0</v>
      </c>
      <c r="K4" t="str">
        <f>"30000"</f>
        <v>30000</v>
      </c>
      <c r="L4" t="str">
        <f t="shared" si="0"/>
        <v>0</v>
      </c>
      <c r="M4" t="str">
        <f t="shared" si="0"/>
        <v>0</v>
      </c>
      <c r="N4" t="str">
        <f t="shared" si="0"/>
        <v>0</v>
      </c>
    </row>
    <row r="5" spans="1:17" x14ac:dyDescent="0.3">
      <c r="A5" t="s">
        <v>17</v>
      </c>
      <c r="B5" t="s">
        <v>18</v>
      </c>
      <c r="C5" t="str">
        <f>"175"</f>
        <v>175</v>
      </c>
      <c r="D5" t="str">
        <f>"2100"</f>
        <v>2100</v>
      </c>
      <c r="E5" t="s">
        <v>19</v>
      </c>
      <c r="F5" t="s">
        <v>23</v>
      </c>
      <c r="G5">
        <v>124</v>
      </c>
      <c r="I5">
        <v>675</v>
      </c>
      <c r="J5">
        <v>0</v>
      </c>
      <c r="K5" t="str">
        <f>"30000"</f>
        <v>30000</v>
      </c>
      <c r="L5" t="str">
        <f t="shared" si="0"/>
        <v>0</v>
      </c>
      <c r="M5" t="str">
        <f t="shared" si="0"/>
        <v>0</v>
      </c>
      <c r="N5" t="str">
        <f t="shared" si="0"/>
        <v>0</v>
      </c>
    </row>
    <row r="6" spans="1:17" x14ac:dyDescent="0.3">
      <c r="A6" t="s">
        <v>17</v>
      </c>
      <c r="B6" t="s">
        <v>18</v>
      </c>
      <c r="C6" t="str">
        <f>"200"</f>
        <v>200</v>
      </c>
      <c r="D6" t="str">
        <f>"4100"</f>
        <v>4100</v>
      </c>
      <c r="E6" t="s">
        <v>19</v>
      </c>
      <c r="F6" t="s">
        <v>24</v>
      </c>
      <c r="G6">
        <v>129</v>
      </c>
      <c r="H6" t="str">
        <f>""</f>
        <v/>
      </c>
      <c r="I6">
        <v>475</v>
      </c>
      <c r="J6">
        <v>0</v>
      </c>
      <c r="K6" t="str">
        <f>"30000"</f>
        <v>30000</v>
      </c>
      <c r="L6" t="str">
        <f t="shared" si="0"/>
        <v>0</v>
      </c>
      <c r="M6" t="str">
        <f t="shared" si="0"/>
        <v>0</v>
      </c>
      <c r="N6" t="str">
        <f t="shared" si="0"/>
        <v>0</v>
      </c>
    </row>
    <row r="7" spans="1:17" x14ac:dyDescent="0.3">
      <c r="A7" t="s">
        <v>17</v>
      </c>
      <c r="B7" t="s">
        <v>18</v>
      </c>
      <c r="C7" t="str">
        <f>"225"</f>
        <v>225</v>
      </c>
      <c r="D7" t="str">
        <f>"340025"</f>
        <v>340025</v>
      </c>
      <c r="E7" t="s">
        <v>19</v>
      </c>
      <c r="F7" t="s">
        <v>25</v>
      </c>
      <c r="G7">
        <v>915</v>
      </c>
      <c r="I7">
        <v>45</v>
      </c>
      <c r="J7">
        <v>0</v>
      </c>
      <c r="K7" t="str">
        <f t="shared" ref="K7:K38" si="1">"31000"</f>
        <v>31000</v>
      </c>
    </row>
    <row r="8" spans="1:17" x14ac:dyDescent="0.3">
      <c r="A8" t="s">
        <v>17</v>
      </c>
      <c r="B8" t="s">
        <v>18</v>
      </c>
      <c r="C8" t="str">
        <f>"225"</f>
        <v>225</v>
      </c>
      <c r="D8" t="str">
        <f>"340026"</f>
        <v>340026</v>
      </c>
      <c r="E8" t="s">
        <v>19</v>
      </c>
      <c r="F8" t="s">
        <v>26</v>
      </c>
      <c r="G8">
        <v>941</v>
      </c>
      <c r="H8" t="str">
        <f>""</f>
        <v/>
      </c>
      <c r="I8">
        <v>67.5</v>
      </c>
      <c r="J8">
        <v>0</v>
      </c>
      <c r="K8" t="str">
        <f t="shared" si="1"/>
        <v>31000</v>
      </c>
      <c r="L8" t="str">
        <f t="shared" ref="L8:N24" si="2">"0"</f>
        <v>0</v>
      </c>
      <c r="M8" t="str">
        <f t="shared" si="2"/>
        <v>0</v>
      </c>
      <c r="N8" t="str">
        <f t="shared" si="2"/>
        <v>0</v>
      </c>
    </row>
    <row r="9" spans="1:17" x14ac:dyDescent="0.3">
      <c r="A9" t="s">
        <v>17</v>
      </c>
      <c r="B9" t="s">
        <v>18</v>
      </c>
      <c r="C9" t="str">
        <f>"225"</f>
        <v>225</v>
      </c>
      <c r="D9" t="str">
        <f>"340027"</f>
        <v>340027</v>
      </c>
      <c r="E9" t="s">
        <v>19</v>
      </c>
      <c r="F9" t="s">
        <v>27</v>
      </c>
      <c r="G9">
        <v>915</v>
      </c>
      <c r="I9">
        <v>22.5</v>
      </c>
      <c r="J9">
        <v>0</v>
      </c>
      <c r="K9" t="str">
        <f t="shared" si="1"/>
        <v>31000</v>
      </c>
      <c r="L9" t="str">
        <f t="shared" si="2"/>
        <v>0</v>
      </c>
      <c r="M9" t="str">
        <f t="shared" si="2"/>
        <v>0</v>
      </c>
      <c r="N9" t="str">
        <f t="shared" si="2"/>
        <v>0</v>
      </c>
    </row>
    <row r="10" spans="1:17" x14ac:dyDescent="0.3">
      <c r="A10" t="s">
        <v>17</v>
      </c>
      <c r="B10" t="s">
        <v>18</v>
      </c>
      <c r="C10" t="str">
        <f t="shared" ref="C10:C25" si="3">"250"</f>
        <v>250</v>
      </c>
      <c r="D10" t="str">
        <f>"140001"</f>
        <v>140001</v>
      </c>
      <c r="E10" t="s">
        <v>19</v>
      </c>
      <c r="F10" t="s">
        <v>28</v>
      </c>
      <c r="G10">
        <v>914</v>
      </c>
      <c r="H10" t="str">
        <f>""</f>
        <v/>
      </c>
      <c r="I10">
        <v>100</v>
      </c>
      <c r="J10">
        <v>0</v>
      </c>
      <c r="K10" t="str">
        <f t="shared" si="1"/>
        <v>31000</v>
      </c>
      <c r="L10" t="str">
        <f t="shared" si="2"/>
        <v>0</v>
      </c>
      <c r="M10" t="str">
        <f t="shared" si="2"/>
        <v>0</v>
      </c>
      <c r="N10" t="str">
        <f t="shared" si="2"/>
        <v>0</v>
      </c>
    </row>
    <row r="11" spans="1:17" x14ac:dyDescent="0.3">
      <c r="A11" t="s">
        <v>17</v>
      </c>
      <c r="B11" t="s">
        <v>18</v>
      </c>
      <c r="C11" t="str">
        <f t="shared" si="3"/>
        <v>250</v>
      </c>
      <c r="D11" t="str">
        <f>"300001"</f>
        <v>300001</v>
      </c>
      <c r="E11" t="s">
        <v>19</v>
      </c>
      <c r="F11" t="s">
        <v>29</v>
      </c>
      <c r="G11">
        <v>916</v>
      </c>
      <c r="H11" t="str">
        <f>""</f>
        <v/>
      </c>
      <c r="I11">
        <v>80</v>
      </c>
      <c r="J11">
        <v>0</v>
      </c>
      <c r="K11" t="str">
        <f t="shared" si="1"/>
        <v>31000</v>
      </c>
      <c r="L11" t="str">
        <f t="shared" si="2"/>
        <v>0</v>
      </c>
      <c r="M11" t="str">
        <f t="shared" si="2"/>
        <v>0</v>
      </c>
      <c r="N11" t="str">
        <f t="shared" si="2"/>
        <v>0</v>
      </c>
    </row>
    <row r="12" spans="1:17" x14ac:dyDescent="0.3">
      <c r="A12" t="s">
        <v>17</v>
      </c>
      <c r="B12" t="s">
        <v>18</v>
      </c>
      <c r="C12" t="str">
        <f t="shared" si="3"/>
        <v>250</v>
      </c>
      <c r="D12" t="str">
        <f>"300005"</f>
        <v>300005</v>
      </c>
      <c r="E12" t="s">
        <v>19</v>
      </c>
      <c r="F12" t="s">
        <v>30</v>
      </c>
      <c r="G12">
        <v>916</v>
      </c>
      <c r="H12" t="str">
        <f>""</f>
        <v/>
      </c>
      <c r="I12">
        <v>80</v>
      </c>
      <c r="J12">
        <v>0</v>
      </c>
      <c r="K12" t="str">
        <f t="shared" si="1"/>
        <v>31000</v>
      </c>
      <c r="L12" t="str">
        <f t="shared" si="2"/>
        <v>0</v>
      </c>
      <c r="M12" t="str">
        <f t="shared" si="2"/>
        <v>0</v>
      </c>
      <c r="N12" t="str">
        <f t="shared" si="2"/>
        <v>0</v>
      </c>
    </row>
    <row r="13" spans="1:17" x14ac:dyDescent="0.3">
      <c r="A13" t="s">
        <v>17</v>
      </c>
      <c r="B13" t="s">
        <v>18</v>
      </c>
      <c r="C13" t="str">
        <f t="shared" si="3"/>
        <v>250</v>
      </c>
      <c r="D13" t="str">
        <f>"310000"</f>
        <v>310000</v>
      </c>
      <c r="E13" t="s">
        <v>19</v>
      </c>
      <c r="F13" t="s">
        <v>31</v>
      </c>
      <c r="G13">
        <v>914</v>
      </c>
      <c r="H13" t="str">
        <f>""</f>
        <v/>
      </c>
      <c r="I13">
        <v>80</v>
      </c>
      <c r="J13">
        <v>0</v>
      </c>
      <c r="K13" t="str">
        <f t="shared" si="1"/>
        <v>31000</v>
      </c>
      <c r="L13" t="str">
        <f t="shared" si="2"/>
        <v>0</v>
      </c>
      <c r="M13" t="str">
        <f t="shared" si="2"/>
        <v>0</v>
      </c>
      <c r="N13" t="str">
        <f t="shared" si="2"/>
        <v>0</v>
      </c>
    </row>
    <row r="14" spans="1:17" x14ac:dyDescent="0.3">
      <c r="A14" t="s">
        <v>17</v>
      </c>
      <c r="B14" t="s">
        <v>18</v>
      </c>
      <c r="C14" t="str">
        <f t="shared" si="3"/>
        <v>250</v>
      </c>
      <c r="D14" t="str">
        <f>"310506"</f>
        <v>310506</v>
      </c>
      <c r="E14" t="s">
        <v>19</v>
      </c>
      <c r="F14" t="s">
        <v>32</v>
      </c>
      <c r="G14">
        <v>914</v>
      </c>
      <c r="H14" t="str">
        <f>""</f>
        <v/>
      </c>
      <c r="I14">
        <v>80</v>
      </c>
      <c r="J14">
        <v>0</v>
      </c>
      <c r="K14" t="str">
        <f t="shared" si="1"/>
        <v>31000</v>
      </c>
      <c r="L14" t="str">
        <f t="shared" si="2"/>
        <v>0</v>
      </c>
      <c r="M14" t="str">
        <f t="shared" si="2"/>
        <v>0</v>
      </c>
      <c r="N14" t="str">
        <f t="shared" si="2"/>
        <v>0</v>
      </c>
    </row>
    <row r="15" spans="1:17" x14ac:dyDescent="0.3">
      <c r="A15" t="s">
        <v>17</v>
      </c>
      <c r="B15" t="s">
        <v>18</v>
      </c>
      <c r="C15" t="str">
        <f t="shared" si="3"/>
        <v>250</v>
      </c>
      <c r="D15" t="str">
        <f>"310511"</f>
        <v>310511</v>
      </c>
      <c r="E15" t="s">
        <v>19</v>
      </c>
      <c r="F15" t="s">
        <v>33</v>
      </c>
      <c r="G15">
        <v>914</v>
      </c>
      <c r="H15" t="str">
        <f>""</f>
        <v/>
      </c>
      <c r="I15">
        <v>80</v>
      </c>
      <c r="J15">
        <v>0</v>
      </c>
      <c r="K15" t="str">
        <f t="shared" si="1"/>
        <v>31000</v>
      </c>
      <c r="L15" t="str">
        <f t="shared" si="2"/>
        <v>0</v>
      </c>
      <c r="M15" t="str">
        <f t="shared" si="2"/>
        <v>0</v>
      </c>
      <c r="N15" t="str">
        <f t="shared" si="2"/>
        <v>0</v>
      </c>
    </row>
    <row r="16" spans="1:17" x14ac:dyDescent="0.3">
      <c r="A16" t="s">
        <v>17</v>
      </c>
      <c r="B16" t="s">
        <v>18</v>
      </c>
      <c r="C16" t="str">
        <f t="shared" si="3"/>
        <v>250</v>
      </c>
      <c r="D16" t="str">
        <f>"320029"</f>
        <v>320029</v>
      </c>
      <c r="E16" t="s">
        <v>19</v>
      </c>
      <c r="F16" t="s">
        <v>34</v>
      </c>
      <c r="G16">
        <v>915</v>
      </c>
      <c r="H16" t="str">
        <f>""</f>
        <v/>
      </c>
      <c r="I16">
        <v>25</v>
      </c>
      <c r="J16">
        <v>0</v>
      </c>
      <c r="K16" t="str">
        <f t="shared" si="1"/>
        <v>31000</v>
      </c>
      <c r="L16" t="str">
        <f t="shared" si="2"/>
        <v>0</v>
      </c>
      <c r="M16" t="str">
        <f t="shared" si="2"/>
        <v>0</v>
      </c>
      <c r="N16" t="str">
        <f t="shared" si="2"/>
        <v>0</v>
      </c>
    </row>
    <row r="17" spans="1:14" x14ac:dyDescent="0.3">
      <c r="A17" t="s">
        <v>17</v>
      </c>
      <c r="B17" t="s">
        <v>18</v>
      </c>
      <c r="C17" t="str">
        <f t="shared" si="3"/>
        <v>250</v>
      </c>
      <c r="D17" t="str">
        <f>"320035"</f>
        <v>320035</v>
      </c>
      <c r="E17" t="s">
        <v>19</v>
      </c>
      <c r="F17" t="s">
        <v>35</v>
      </c>
      <c r="G17">
        <v>915</v>
      </c>
      <c r="H17" t="str">
        <f>""</f>
        <v/>
      </c>
      <c r="I17">
        <v>50</v>
      </c>
      <c r="J17">
        <v>0</v>
      </c>
      <c r="K17" t="str">
        <f t="shared" si="1"/>
        <v>31000</v>
      </c>
      <c r="L17" t="str">
        <f t="shared" si="2"/>
        <v>0</v>
      </c>
      <c r="M17" t="str">
        <f t="shared" si="2"/>
        <v>0</v>
      </c>
      <c r="N17" t="str">
        <f t="shared" si="2"/>
        <v>0</v>
      </c>
    </row>
    <row r="18" spans="1:14" x14ac:dyDescent="0.3">
      <c r="A18" t="s">
        <v>17</v>
      </c>
      <c r="B18" t="s">
        <v>18</v>
      </c>
      <c r="C18" t="str">
        <f t="shared" si="3"/>
        <v>250</v>
      </c>
      <c r="D18" t="str">
        <f>"320040"</f>
        <v>320040</v>
      </c>
      <c r="E18" t="s">
        <v>19</v>
      </c>
      <c r="F18" t="s">
        <v>36</v>
      </c>
      <c r="G18">
        <v>915</v>
      </c>
      <c r="H18" t="str">
        <f>""</f>
        <v/>
      </c>
      <c r="I18">
        <v>100</v>
      </c>
      <c r="J18">
        <v>0</v>
      </c>
      <c r="K18" t="str">
        <f t="shared" si="1"/>
        <v>31000</v>
      </c>
      <c r="L18" t="str">
        <f t="shared" si="2"/>
        <v>0</v>
      </c>
      <c r="M18" t="str">
        <f t="shared" si="2"/>
        <v>0</v>
      </c>
      <c r="N18" t="str">
        <f t="shared" si="2"/>
        <v>0</v>
      </c>
    </row>
    <row r="19" spans="1:14" x14ac:dyDescent="0.3">
      <c r="A19" t="s">
        <v>17</v>
      </c>
      <c r="B19" t="s">
        <v>18</v>
      </c>
      <c r="C19" t="str">
        <f t="shared" si="3"/>
        <v>250</v>
      </c>
      <c r="D19" t="str">
        <f>"320523"</f>
        <v>320523</v>
      </c>
      <c r="E19" t="s">
        <v>19</v>
      </c>
      <c r="F19" t="s">
        <v>37</v>
      </c>
      <c r="G19">
        <v>915</v>
      </c>
      <c r="H19" t="str">
        <f>""</f>
        <v/>
      </c>
      <c r="I19">
        <v>50</v>
      </c>
      <c r="J19">
        <v>0</v>
      </c>
      <c r="K19" t="str">
        <f t="shared" si="1"/>
        <v>31000</v>
      </c>
      <c r="L19" t="str">
        <f t="shared" si="2"/>
        <v>0</v>
      </c>
      <c r="M19" t="str">
        <f t="shared" si="2"/>
        <v>0</v>
      </c>
      <c r="N19" t="str">
        <f t="shared" si="2"/>
        <v>0</v>
      </c>
    </row>
    <row r="20" spans="1:14" x14ac:dyDescent="0.3">
      <c r="A20" t="s">
        <v>17</v>
      </c>
      <c r="B20" t="s">
        <v>18</v>
      </c>
      <c r="C20" t="str">
        <f t="shared" si="3"/>
        <v>250</v>
      </c>
      <c r="D20" t="str">
        <f>"320524"</f>
        <v>320524</v>
      </c>
      <c r="E20" t="s">
        <v>19</v>
      </c>
      <c r="F20" t="s">
        <v>38</v>
      </c>
      <c r="G20">
        <v>915</v>
      </c>
      <c r="H20" t="str">
        <f>""</f>
        <v/>
      </c>
      <c r="I20">
        <v>100</v>
      </c>
      <c r="J20">
        <v>0</v>
      </c>
      <c r="K20" t="str">
        <f t="shared" si="1"/>
        <v>31000</v>
      </c>
      <c r="L20" t="str">
        <f t="shared" si="2"/>
        <v>0</v>
      </c>
      <c r="M20" t="str">
        <f t="shared" si="2"/>
        <v>0</v>
      </c>
      <c r="N20" t="str">
        <f t="shared" si="2"/>
        <v>0</v>
      </c>
    </row>
    <row r="21" spans="1:14" x14ac:dyDescent="0.3">
      <c r="A21" t="s">
        <v>17</v>
      </c>
      <c r="B21" t="s">
        <v>18</v>
      </c>
      <c r="C21" t="str">
        <f t="shared" si="3"/>
        <v>250</v>
      </c>
      <c r="D21" t="str">
        <f>"320525"</f>
        <v>320525</v>
      </c>
      <c r="E21" t="s">
        <v>19</v>
      </c>
      <c r="F21" t="s">
        <v>39</v>
      </c>
      <c r="G21">
        <v>915</v>
      </c>
      <c r="H21" t="str">
        <f>""</f>
        <v/>
      </c>
      <c r="I21">
        <v>50</v>
      </c>
      <c r="J21">
        <v>0</v>
      </c>
      <c r="K21" t="str">
        <f t="shared" si="1"/>
        <v>31000</v>
      </c>
      <c r="L21" t="str">
        <f t="shared" si="2"/>
        <v>0</v>
      </c>
      <c r="M21" t="str">
        <f t="shared" si="2"/>
        <v>0</v>
      </c>
      <c r="N21" t="str">
        <f t="shared" si="2"/>
        <v>0</v>
      </c>
    </row>
    <row r="22" spans="1:14" x14ac:dyDescent="0.3">
      <c r="A22" t="s">
        <v>17</v>
      </c>
      <c r="B22" t="s">
        <v>18</v>
      </c>
      <c r="C22" t="str">
        <f t="shared" si="3"/>
        <v>250</v>
      </c>
      <c r="D22" t="str">
        <f>"320528"</f>
        <v>320528</v>
      </c>
      <c r="E22" t="s">
        <v>19</v>
      </c>
      <c r="F22" t="s">
        <v>40</v>
      </c>
      <c r="G22">
        <v>915</v>
      </c>
      <c r="H22" t="str">
        <f>""</f>
        <v/>
      </c>
      <c r="I22">
        <v>50</v>
      </c>
      <c r="J22">
        <v>0</v>
      </c>
      <c r="K22" t="str">
        <f t="shared" si="1"/>
        <v>31000</v>
      </c>
      <c r="L22" t="str">
        <f t="shared" si="2"/>
        <v>0</v>
      </c>
      <c r="M22" t="str">
        <f t="shared" si="2"/>
        <v>0</v>
      </c>
      <c r="N22" t="str">
        <f t="shared" si="2"/>
        <v>0</v>
      </c>
    </row>
    <row r="23" spans="1:14" x14ac:dyDescent="0.3">
      <c r="A23" t="s">
        <v>17</v>
      </c>
      <c r="B23" t="s">
        <v>18</v>
      </c>
      <c r="C23" t="str">
        <f t="shared" si="3"/>
        <v>250</v>
      </c>
      <c r="D23" t="str">
        <f>"320530"</f>
        <v>320530</v>
      </c>
      <c r="E23" t="s">
        <v>19</v>
      </c>
      <c r="F23" t="s">
        <v>41</v>
      </c>
      <c r="G23">
        <v>915</v>
      </c>
      <c r="H23" t="str">
        <f>""</f>
        <v/>
      </c>
      <c r="I23">
        <v>50</v>
      </c>
      <c r="J23">
        <v>0</v>
      </c>
      <c r="K23" t="str">
        <f t="shared" si="1"/>
        <v>31000</v>
      </c>
      <c r="L23" t="str">
        <f t="shared" si="2"/>
        <v>0</v>
      </c>
      <c r="M23" t="str">
        <f t="shared" si="2"/>
        <v>0</v>
      </c>
      <c r="N23" t="str">
        <f t="shared" si="2"/>
        <v>0</v>
      </c>
    </row>
    <row r="24" spans="1:14" x14ac:dyDescent="0.3">
      <c r="A24" t="s">
        <v>17</v>
      </c>
      <c r="B24" t="s">
        <v>18</v>
      </c>
      <c r="C24" t="str">
        <f t="shared" si="3"/>
        <v>250</v>
      </c>
      <c r="D24" t="str">
        <f>"320531"</f>
        <v>320531</v>
      </c>
      <c r="E24" t="s">
        <v>19</v>
      </c>
      <c r="F24" t="s">
        <v>42</v>
      </c>
      <c r="G24">
        <v>915</v>
      </c>
      <c r="H24" t="str">
        <f>""</f>
        <v/>
      </c>
      <c r="I24">
        <v>100</v>
      </c>
      <c r="J24">
        <v>0</v>
      </c>
      <c r="K24" t="str">
        <f t="shared" si="1"/>
        <v>31000</v>
      </c>
      <c r="L24" t="str">
        <f t="shared" si="2"/>
        <v>0</v>
      </c>
      <c r="M24" t="str">
        <f t="shared" si="2"/>
        <v>0</v>
      </c>
      <c r="N24" t="str">
        <f t="shared" si="2"/>
        <v>0</v>
      </c>
    </row>
    <row r="25" spans="1:14" x14ac:dyDescent="0.3">
      <c r="A25" t="s">
        <v>17</v>
      </c>
      <c r="B25" t="s">
        <v>18</v>
      </c>
      <c r="C25" t="str">
        <f t="shared" si="3"/>
        <v>250</v>
      </c>
      <c r="D25" t="str">
        <f>"320532"</f>
        <v>320532</v>
      </c>
      <c r="E25" t="s">
        <v>19</v>
      </c>
      <c r="F25" t="s">
        <v>43</v>
      </c>
      <c r="G25">
        <v>915</v>
      </c>
      <c r="I25">
        <v>25</v>
      </c>
      <c r="J25">
        <v>0</v>
      </c>
      <c r="K25" t="str">
        <f t="shared" si="1"/>
        <v>31000</v>
      </c>
    </row>
    <row r="26" spans="1:14" x14ac:dyDescent="0.3">
      <c r="A26" t="s">
        <v>17</v>
      </c>
      <c r="B26" t="s">
        <v>18</v>
      </c>
      <c r="C26" t="str">
        <f t="shared" ref="C26:C57" si="4">"275"</f>
        <v>275</v>
      </c>
      <c r="D26" t="str">
        <f>"3105071"</f>
        <v>3105071</v>
      </c>
      <c r="E26" t="s">
        <v>19</v>
      </c>
      <c r="F26" t="s">
        <v>44</v>
      </c>
      <c r="G26">
        <v>910</v>
      </c>
      <c r="H26" t="str">
        <f>"90887"</f>
        <v>90887</v>
      </c>
      <c r="I26">
        <v>90</v>
      </c>
      <c r="J26">
        <v>0</v>
      </c>
      <c r="K26" t="str">
        <f t="shared" si="1"/>
        <v>31000</v>
      </c>
      <c r="L26" t="str">
        <f t="shared" ref="L26:N33" si="5">"0"</f>
        <v>0</v>
      </c>
      <c r="M26" t="str">
        <f t="shared" si="5"/>
        <v>0</v>
      </c>
      <c r="N26" t="str">
        <f t="shared" si="5"/>
        <v>0</v>
      </c>
    </row>
    <row r="27" spans="1:14" x14ac:dyDescent="0.3">
      <c r="A27" t="s">
        <v>17</v>
      </c>
      <c r="B27" t="s">
        <v>18</v>
      </c>
      <c r="C27" t="str">
        <f t="shared" si="4"/>
        <v>275</v>
      </c>
      <c r="D27" t="str">
        <f>"3105072"</f>
        <v>3105072</v>
      </c>
      <c r="E27" t="s">
        <v>19</v>
      </c>
      <c r="F27" t="s">
        <v>44</v>
      </c>
      <c r="G27">
        <v>910</v>
      </c>
      <c r="H27" t="str">
        <f>"90887"</f>
        <v>90887</v>
      </c>
      <c r="I27">
        <v>90</v>
      </c>
      <c r="J27">
        <v>0</v>
      </c>
      <c r="K27" t="str">
        <f t="shared" si="1"/>
        <v>31000</v>
      </c>
      <c r="L27" t="str">
        <f t="shared" si="5"/>
        <v>0</v>
      </c>
      <c r="M27" t="str">
        <f t="shared" si="5"/>
        <v>0</v>
      </c>
      <c r="N27" t="str">
        <f t="shared" si="5"/>
        <v>0</v>
      </c>
    </row>
    <row r="28" spans="1:14" x14ac:dyDescent="0.3">
      <c r="A28" t="s">
        <v>17</v>
      </c>
      <c r="B28" t="s">
        <v>18</v>
      </c>
      <c r="C28" t="str">
        <f t="shared" si="4"/>
        <v>275</v>
      </c>
      <c r="D28" t="str">
        <f>"3105073"</f>
        <v>3105073</v>
      </c>
      <c r="E28" t="s">
        <v>19</v>
      </c>
      <c r="F28" t="s">
        <v>44</v>
      </c>
      <c r="G28">
        <v>910</v>
      </c>
      <c r="H28" t="str">
        <f>"90887"</f>
        <v>90887</v>
      </c>
      <c r="I28">
        <v>90</v>
      </c>
      <c r="J28">
        <v>0</v>
      </c>
      <c r="K28" t="str">
        <f t="shared" si="1"/>
        <v>31000</v>
      </c>
      <c r="L28" t="str">
        <f t="shared" si="5"/>
        <v>0</v>
      </c>
      <c r="M28" t="str">
        <f t="shared" si="5"/>
        <v>0</v>
      </c>
      <c r="N28" t="str">
        <f t="shared" si="5"/>
        <v>0</v>
      </c>
    </row>
    <row r="29" spans="1:14" x14ac:dyDescent="0.3">
      <c r="A29" t="s">
        <v>17</v>
      </c>
      <c r="B29" t="s">
        <v>18</v>
      </c>
      <c r="C29" t="str">
        <f t="shared" si="4"/>
        <v>275</v>
      </c>
      <c r="D29" t="str">
        <f>"3105074"</f>
        <v>3105074</v>
      </c>
      <c r="E29" t="s">
        <v>19</v>
      </c>
      <c r="F29" t="s">
        <v>44</v>
      </c>
      <c r="G29">
        <v>910</v>
      </c>
      <c r="H29" t="str">
        <f>"90887"</f>
        <v>90887</v>
      </c>
      <c r="I29">
        <v>90</v>
      </c>
      <c r="J29">
        <v>0</v>
      </c>
      <c r="K29" t="str">
        <f t="shared" si="1"/>
        <v>31000</v>
      </c>
      <c r="L29" t="str">
        <f t="shared" si="5"/>
        <v>0</v>
      </c>
      <c r="M29" t="str">
        <f t="shared" si="5"/>
        <v>0</v>
      </c>
      <c r="N29" t="str">
        <f t="shared" si="5"/>
        <v>0</v>
      </c>
    </row>
    <row r="30" spans="1:14" x14ac:dyDescent="0.3">
      <c r="A30" t="s">
        <v>17</v>
      </c>
      <c r="B30" t="s">
        <v>18</v>
      </c>
      <c r="C30" t="str">
        <f t="shared" si="4"/>
        <v>275</v>
      </c>
      <c r="D30" t="str">
        <f>"3105081"</f>
        <v>3105081</v>
      </c>
      <c r="E30" t="s">
        <v>19</v>
      </c>
      <c r="F30" t="s">
        <v>45</v>
      </c>
      <c r="G30">
        <v>910</v>
      </c>
      <c r="H30" t="str">
        <f>"99238"</f>
        <v>99238</v>
      </c>
      <c r="I30">
        <v>95</v>
      </c>
      <c r="J30">
        <v>0</v>
      </c>
      <c r="K30" t="str">
        <f t="shared" si="1"/>
        <v>31000</v>
      </c>
      <c r="L30" t="str">
        <f t="shared" si="5"/>
        <v>0</v>
      </c>
      <c r="M30" t="str">
        <f t="shared" si="5"/>
        <v>0</v>
      </c>
      <c r="N30" t="str">
        <f t="shared" si="5"/>
        <v>0</v>
      </c>
    </row>
    <row r="31" spans="1:14" x14ac:dyDescent="0.3">
      <c r="A31" t="s">
        <v>17</v>
      </c>
      <c r="B31" t="s">
        <v>18</v>
      </c>
      <c r="C31" t="str">
        <f t="shared" si="4"/>
        <v>275</v>
      </c>
      <c r="D31" t="str">
        <f>"3105082"</f>
        <v>3105082</v>
      </c>
      <c r="E31" t="s">
        <v>19</v>
      </c>
      <c r="F31" t="s">
        <v>45</v>
      </c>
      <c r="G31">
        <v>910</v>
      </c>
      <c r="H31" t="str">
        <f>"99238"</f>
        <v>99238</v>
      </c>
      <c r="I31">
        <v>95</v>
      </c>
      <c r="J31">
        <v>0</v>
      </c>
      <c r="K31" t="str">
        <f t="shared" si="1"/>
        <v>31000</v>
      </c>
      <c r="L31" t="str">
        <f t="shared" si="5"/>
        <v>0</v>
      </c>
      <c r="M31" t="str">
        <f t="shared" si="5"/>
        <v>0</v>
      </c>
      <c r="N31" t="str">
        <f t="shared" si="5"/>
        <v>0</v>
      </c>
    </row>
    <row r="32" spans="1:14" x14ac:dyDescent="0.3">
      <c r="A32" t="s">
        <v>17</v>
      </c>
      <c r="B32" t="s">
        <v>18</v>
      </c>
      <c r="C32" t="str">
        <f t="shared" si="4"/>
        <v>275</v>
      </c>
      <c r="D32" t="str">
        <f>"3105083"</f>
        <v>3105083</v>
      </c>
      <c r="E32" t="s">
        <v>19</v>
      </c>
      <c r="F32" t="s">
        <v>45</v>
      </c>
      <c r="G32">
        <v>910</v>
      </c>
      <c r="H32" t="str">
        <f>"99238"</f>
        <v>99238</v>
      </c>
      <c r="I32">
        <v>95</v>
      </c>
      <c r="J32">
        <v>0</v>
      </c>
      <c r="K32" t="str">
        <f t="shared" si="1"/>
        <v>31000</v>
      </c>
      <c r="L32" t="str">
        <f t="shared" si="5"/>
        <v>0</v>
      </c>
      <c r="M32" t="str">
        <f t="shared" si="5"/>
        <v>0</v>
      </c>
      <c r="N32" t="str">
        <f t="shared" si="5"/>
        <v>0</v>
      </c>
    </row>
    <row r="33" spans="1:14" x14ac:dyDescent="0.3">
      <c r="A33" t="s">
        <v>17</v>
      </c>
      <c r="B33" t="s">
        <v>18</v>
      </c>
      <c r="C33" t="str">
        <f t="shared" si="4"/>
        <v>275</v>
      </c>
      <c r="D33" t="str">
        <f>"3105084"</f>
        <v>3105084</v>
      </c>
      <c r="E33" t="s">
        <v>19</v>
      </c>
      <c r="F33" t="s">
        <v>45</v>
      </c>
      <c r="G33">
        <v>910</v>
      </c>
      <c r="H33" t="str">
        <f>"99238"</f>
        <v>99238</v>
      </c>
      <c r="I33">
        <v>95</v>
      </c>
      <c r="J33">
        <v>0</v>
      </c>
      <c r="K33" t="str">
        <f t="shared" si="1"/>
        <v>31000</v>
      </c>
      <c r="L33" t="str">
        <f t="shared" si="5"/>
        <v>0</v>
      </c>
      <c r="M33" t="str">
        <f t="shared" si="5"/>
        <v>0</v>
      </c>
      <c r="N33" t="str">
        <f t="shared" si="5"/>
        <v>0</v>
      </c>
    </row>
    <row r="34" spans="1:14" x14ac:dyDescent="0.3">
      <c r="A34" t="s">
        <v>17</v>
      </c>
      <c r="B34" t="s">
        <v>18</v>
      </c>
      <c r="C34" t="str">
        <f t="shared" si="4"/>
        <v>275</v>
      </c>
      <c r="D34" t="str">
        <f>"3105089"</f>
        <v>3105089</v>
      </c>
      <c r="E34" t="s">
        <v>19</v>
      </c>
      <c r="F34" t="s">
        <v>46</v>
      </c>
      <c r="G34">
        <v>910</v>
      </c>
      <c r="H34" t="str">
        <f>"99238"</f>
        <v>99238</v>
      </c>
      <c r="I34">
        <v>95</v>
      </c>
      <c r="J34">
        <v>0</v>
      </c>
      <c r="K34" t="str">
        <f t="shared" si="1"/>
        <v>31000</v>
      </c>
    </row>
    <row r="35" spans="1:14" x14ac:dyDescent="0.3">
      <c r="A35" t="s">
        <v>17</v>
      </c>
      <c r="B35" t="s">
        <v>18</v>
      </c>
      <c r="C35" t="str">
        <f t="shared" si="4"/>
        <v>275</v>
      </c>
      <c r="D35" t="str">
        <f>"7045644"</f>
        <v>7045644</v>
      </c>
      <c r="E35" t="s">
        <v>19</v>
      </c>
      <c r="F35" t="s">
        <v>47</v>
      </c>
      <c r="G35">
        <v>921</v>
      </c>
      <c r="H35" t="str">
        <f>"12011"</f>
        <v>12011</v>
      </c>
      <c r="I35">
        <v>160</v>
      </c>
      <c r="J35">
        <v>0</v>
      </c>
      <c r="K35" t="str">
        <f t="shared" si="1"/>
        <v>31000</v>
      </c>
      <c r="L35" t="str">
        <f t="shared" ref="L35:N40" si="6">"0"</f>
        <v>0</v>
      </c>
      <c r="M35" t="str">
        <f t="shared" si="6"/>
        <v>0</v>
      </c>
      <c r="N35" t="str">
        <f t="shared" si="6"/>
        <v>0</v>
      </c>
    </row>
    <row r="36" spans="1:14" x14ac:dyDescent="0.3">
      <c r="A36" t="s">
        <v>17</v>
      </c>
      <c r="B36" t="s">
        <v>18</v>
      </c>
      <c r="C36" t="str">
        <f t="shared" si="4"/>
        <v>275</v>
      </c>
      <c r="D36" t="str">
        <f>"7045645"</f>
        <v>7045645</v>
      </c>
      <c r="E36" t="s">
        <v>19</v>
      </c>
      <c r="F36" t="s">
        <v>48</v>
      </c>
      <c r="G36">
        <v>921</v>
      </c>
      <c r="H36" t="str">
        <f>"12001"</f>
        <v>12001</v>
      </c>
      <c r="I36">
        <v>155</v>
      </c>
      <c r="J36">
        <v>0</v>
      </c>
      <c r="K36" t="str">
        <f t="shared" si="1"/>
        <v>31000</v>
      </c>
      <c r="L36" t="str">
        <f t="shared" si="6"/>
        <v>0</v>
      </c>
      <c r="M36" t="str">
        <f t="shared" si="6"/>
        <v>0</v>
      </c>
      <c r="N36" t="str">
        <f t="shared" si="6"/>
        <v>0</v>
      </c>
    </row>
    <row r="37" spans="1:14" x14ac:dyDescent="0.3">
      <c r="A37" t="s">
        <v>17</v>
      </c>
      <c r="B37" t="s">
        <v>18</v>
      </c>
      <c r="C37" t="str">
        <f t="shared" si="4"/>
        <v>275</v>
      </c>
      <c r="D37" t="str">
        <f>"7045646"</f>
        <v>7045646</v>
      </c>
      <c r="E37" t="s">
        <v>19</v>
      </c>
      <c r="F37" t="s">
        <v>49</v>
      </c>
      <c r="G37">
        <v>910</v>
      </c>
      <c r="H37" t="str">
        <f>""</f>
        <v/>
      </c>
      <c r="I37">
        <v>225</v>
      </c>
      <c r="J37">
        <v>0</v>
      </c>
      <c r="K37" t="str">
        <f t="shared" si="1"/>
        <v>31000</v>
      </c>
      <c r="L37" t="str">
        <f t="shared" si="6"/>
        <v>0</v>
      </c>
      <c r="M37" t="str">
        <f t="shared" si="6"/>
        <v>0</v>
      </c>
      <c r="N37" t="str">
        <f t="shared" si="6"/>
        <v>0</v>
      </c>
    </row>
    <row r="38" spans="1:14" x14ac:dyDescent="0.3">
      <c r="A38" t="s">
        <v>17</v>
      </c>
      <c r="B38" t="s">
        <v>18</v>
      </c>
      <c r="C38" t="str">
        <f t="shared" si="4"/>
        <v>275</v>
      </c>
      <c r="D38" t="str">
        <f>"8050012"</f>
        <v>8050012</v>
      </c>
      <c r="E38" t="s">
        <v>19</v>
      </c>
      <c r="F38" t="s">
        <v>50</v>
      </c>
      <c r="G38">
        <v>910</v>
      </c>
      <c r="H38" t="str">
        <f>"99223"</f>
        <v>99223</v>
      </c>
      <c r="I38">
        <v>205</v>
      </c>
      <c r="J38">
        <v>0</v>
      </c>
      <c r="K38" t="str">
        <f t="shared" si="1"/>
        <v>31000</v>
      </c>
      <c r="L38" t="str">
        <f t="shared" si="6"/>
        <v>0</v>
      </c>
      <c r="M38" t="str">
        <f t="shared" si="6"/>
        <v>0</v>
      </c>
      <c r="N38" t="str">
        <f t="shared" si="6"/>
        <v>0</v>
      </c>
    </row>
    <row r="39" spans="1:14" x14ac:dyDescent="0.3">
      <c r="A39" t="s">
        <v>17</v>
      </c>
      <c r="B39" t="s">
        <v>18</v>
      </c>
      <c r="C39" t="str">
        <f t="shared" si="4"/>
        <v>275</v>
      </c>
      <c r="D39" t="str">
        <f>"8050013"</f>
        <v>8050013</v>
      </c>
      <c r="E39" t="s">
        <v>19</v>
      </c>
      <c r="F39" t="s">
        <v>50</v>
      </c>
      <c r="G39">
        <v>910</v>
      </c>
      <c r="H39" t="str">
        <f>"99223"</f>
        <v>99223</v>
      </c>
      <c r="I39">
        <v>205</v>
      </c>
      <c r="J39">
        <v>0</v>
      </c>
      <c r="K39" t="str">
        <f t="shared" ref="K39:K70" si="7">"31000"</f>
        <v>31000</v>
      </c>
      <c r="L39" t="str">
        <f t="shared" si="6"/>
        <v>0</v>
      </c>
      <c r="M39" t="str">
        <f t="shared" si="6"/>
        <v>0</v>
      </c>
      <c r="N39" t="str">
        <f t="shared" si="6"/>
        <v>0</v>
      </c>
    </row>
    <row r="40" spans="1:14" x14ac:dyDescent="0.3">
      <c r="A40" t="s">
        <v>17</v>
      </c>
      <c r="B40" t="s">
        <v>18</v>
      </c>
      <c r="C40" t="str">
        <f t="shared" si="4"/>
        <v>275</v>
      </c>
      <c r="D40" t="str">
        <f>"8050014"</f>
        <v>8050014</v>
      </c>
      <c r="E40" t="s">
        <v>19</v>
      </c>
      <c r="F40" t="s">
        <v>50</v>
      </c>
      <c r="G40">
        <v>910</v>
      </c>
      <c r="H40" t="str">
        <f>"99223"</f>
        <v>99223</v>
      </c>
      <c r="I40">
        <v>205</v>
      </c>
      <c r="J40">
        <v>0</v>
      </c>
      <c r="K40" t="str">
        <f t="shared" si="7"/>
        <v>31000</v>
      </c>
      <c r="L40" t="str">
        <f t="shared" si="6"/>
        <v>0</v>
      </c>
      <c r="M40" t="str">
        <f t="shared" si="6"/>
        <v>0</v>
      </c>
      <c r="N40" t="str">
        <f t="shared" si="6"/>
        <v>0</v>
      </c>
    </row>
    <row r="41" spans="1:14" x14ac:dyDescent="0.3">
      <c r="A41" t="s">
        <v>17</v>
      </c>
      <c r="B41" t="s">
        <v>18</v>
      </c>
      <c r="C41" t="str">
        <f t="shared" si="4"/>
        <v>275</v>
      </c>
      <c r="D41" t="str">
        <f>"8050015"</f>
        <v>8050015</v>
      </c>
      <c r="E41" t="s">
        <v>19</v>
      </c>
      <c r="F41" t="s">
        <v>51</v>
      </c>
      <c r="G41">
        <v>910</v>
      </c>
      <c r="H41" t="str">
        <f>"99223"</f>
        <v>99223</v>
      </c>
      <c r="I41">
        <v>205</v>
      </c>
      <c r="J41">
        <v>0</v>
      </c>
      <c r="K41" t="str">
        <f t="shared" si="7"/>
        <v>31000</v>
      </c>
    </row>
    <row r="42" spans="1:14" x14ac:dyDescent="0.3">
      <c r="A42" t="s">
        <v>17</v>
      </c>
      <c r="B42" t="s">
        <v>18</v>
      </c>
      <c r="C42" t="str">
        <f t="shared" si="4"/>
        <v>275</v>
      </c>
      <c r="D42" t="str">
        <f>"8050019"</f>
        <v>8050019</v>
      </c>
      <c r="E42" t="s">
        <v>19</v>
      </c>
      <c r="F42" t="s">
        <v>50</v>
      </c>
      <c r="G42">
        <v>910</v>
      </c>
      <c r="H42" t="str">
        <f>"99223"</f>
        <v>99223</v>
      </c>
      <c r="I42">
        <v>205</v>
      </c>
      <c r="J42">
        <v>0</v>
      </c>
      <c r="K42" t="str">
        <f t="shared" si="7"/>
        <v>31000</v>
      </c>
    </row>
    <row r="43" spans="1:14" x14ac:dyDescent="0.3">
      <c r="A43" t="s">
        <v>17</v>
      </c>
      <c r="B43" t="s">
        <v>18</v>
      </c>
      <c r="C43" t="str">
        <f t="shared" si="4"/>
        <v>275</v>
      </c>
      <c r="D43" t="str">
        <f>"8100012"</f>
        <v>8100012</v>
      </c>
      <c r="E43" t="s">
        <v>19</v>
      </c>
      <c r="F43" t="s">
        <v>52</v>
      </c>
      <c r="G43">
        <v>910</v>
      </c>
      <c r="H43" t="str">
        <f>"90801"</f>
        <v>90801</v>
      </c>
      <c r="I43">
        <v>200</v>
      </c>
      <c r="J43">
        <v>0</v>
      </c>
      <c r="K43" t="str">
        <f t="shared" si="7"/>
        <v>31000</v>
      </c>
      <c r="L43" t="str">
        <f t="shared" ref="L43:N44" si="8">"0"</f>
        <v>0</v>
      </c>
      <c r="M43" t="str">
        <f t="shared" si="8"/>
        <v>0</v>
      </c>
      <c r="N43" t="str">
        <f t="shared" si="8"/>
        <v>0</v>
      </c>
    </row>
    <row r="44" spans="1:14" x14ac:dyDescent="0.3">
      <c r="A44" t="s">
        <v>17</v>
      </c>
      <c r="B44" t="s">
        <v>18</v>
      </c>
      <c r="C44" t="str">
        <f t="shared" si="4"/>
        <v>275</v>
      </c>
      <c r="D44" t="str">
        <f>"810011"</f>
        <v>810011</v>
      </c>
      <c r="E44" t="s">
        <v>19</v>
      </c>
      <c r="F44" t="s">
        <v>53</v>
      </c>
      <c r="G44">
        <v>910</v>
      </c>
      <c r="H44" t="str">
        <f t="shared" ref="H44:H49" si="9">"90791"</f>
        <v>90791</v>
      </c>
      <c r="I44">
        <v>200</v>
      </c>
      <c r="J44">
        <v>0</v>
      </c>
      <c r="K44" t="str">
        <f t="shared" si="7"/>
        <v>31000</v>
      </c>
      <c r="L44" t="str">
        <f t="shared" si="8"/>
        <v>0</v>
      </c>
      <c r="M44" t="str">
        <f t="shared" si="8"/>
        <v>0</v>
      </c>
      <c r="N44" t="str">
        <f t="shared" si="8"/>
        <v>0</v>
      </c>
    </row>
    <row r="45" spans="1:14" x14ac:dyDescent="0.3">
      <c r="A45" t="s">
        <v>17</v>
      </c>
      <c r="B45" t="s">
        <v>18</v>
      </c>
      <c r="C45" t="str">
        <f t="shared" si="4"/>
        <v>275</v>
      </c>
      <c r="D45" t="str">
        <f>"8100110"</f>
        <v>8100110</v>
      </c>
      <c r="E45" t="s">
        <v>19</v>
      </c>
      <c r="F45" t="s">
        <v>53</v>
      </c>
      <c r="G45">
        <v>910</v>
      </c>
      <c r="H45" t="str">
        <f t="shared" si="9"/>
        <v>90791</v>
      </c>
      <c r="I45">
        <v>200</v>
      </c>
      <c r="J45">
        <v>0</v>
      </c>
      <c r="K45" t="str">
        <f t="shared" si="7"/>
        <v>31000</v>
      </c>
    </row>
    <row r="46" spans="1:14" x14ac:dyDescent="0.3">
      <c r="A46" t="s">
        <v>17</v>
      </c>
      <c r="B46" t="s">
        <v>18</v>
      </c>
      <c r="C46" t="str">
        <f t="shared" si="4"/>
        <v>275</v>
      </c>
      <c r="D46" t="str">
        <f>"8100112"</f>
        <v>8100112</v>
      </c>
      <c r="E46" t="s">
        <v>19</v>
      </c>
      <c r="F46" t="s">
        <v>54</v>
      </c>
      <c r="G46">
        <v>910</v>
      </c>
      <c r="H46" t="str">
        <f t="shared" si="9"/>
        <v>90791</v>
      </c>
      <c r="I46">
        <v>200</v>
      </c>
      <c r="J46">
        <v>0</v>
      </c>
      <c r="K46" t="str">
        <f t="shared" si="7"/>
        <v>31000</v>
      </c>
    </row>
    <row r="47" spans="1:14" x14ac:dyDescent="0.3">
      <c r="A47" t="s">
        <v>17</v>
      </c>
      <c r="B47" t="s">
        <v>18</v>
      </c>
      <c r="C47" t="str">
        <f t="shared" si="4"/>
        <v>275</v>
      </c>
      <c r="D47" t="str">
        <f>"810013"</f>
        <v>810013</v>
      </c>
      <c r="E47" t="s">
        <v>19</v>
      </c>
      <c r="F47" t="s">
        <v>55</v>
      </c>
      <c r="G47">
        <v>910</v>
      </c>
      <c r="H47" t="str">
        <f t="shared" si="9"/>
        <v>90791</v>
      </c>
      <c r="I47">
        <v>200</v>
      </c>
      <c r="J47">
        <v>0</v>
      </c>
      <c r="K47" t="str">
        <f t="shared" si="7"/>
        <v>31000</v>
      </c>
      <c r="L47" t="str">
        <f t="shared" ref="L47:N48" si="10">"0"</f>
        <v>0</v>
      </c>
      <c r="M47" t="str">
        <f t="shared" si="10"/>
        <v>0</v>
      </c>
      <c r="N47" t="str">
        <f t="shared" si="10"/>
        <v>0</v>
      </c>
    </row>
    <row r="48" spans="1:14" x14ac:dyDescent="0.3">
      <c r="A48" t="s">
        <v>17</v>
      </c>
      <c r="B48" t="s">
        <v>18</v>
      </c>
      <c r="C48" t="str">
        <f t="shared" si="4"/>
        <v>275</v>
      </c>
      <c r="D48" t="str">
        <f>"810014"</f>
        <v>810014</v>
      </c>
      <c r="E48" t="s">
        <v>19</v>
      </c>
      <c r="F48" t="s">
        <v>56</v>
      </c>
      <c r="G48">
        <v>910</v>
      </c>
      <c r="H48" t="str">
        <f t="shared" si="9"/>
        <v>90791</v>
      </c>
      <c r="I48">
        <v>200</v>
      </c>
      <c r="J48">
        <v>0</v>
      </c>
      <c r="K48" t="str">
        <f t="shared" si="7"/>
        <v>31000</v>
      </c>
      <c r="L48" t="str">
        <f t="shared" si="10"/>
        <v>0</v>
      </c>
      <c r="M48" t="str">
        <f t="shared" si="10"/>
        <v>0</v>
      </c>
      <c r="N48" t="str">
        <f t="shared" si="10"/>
        <v>0</v>
      </c>
    </row>
    <row r="49" spans="1:14" x14ac:dyDescent="0.3">
      <c r="A49" t="s">
        <v>17</v>
      </c>
      <c r="B49" t="s">
        <v>18</v>
      </c>
      <c r="C49" t="str">
        <f t="shared" si="4"/>
        <v>275</v>
      </c>
      <c r="D49" t="str">
        <f>"810019"</f>
        <v>810019</v>
      </c>
      <c r="E49" t="s">
        <v>19</v>
      </c>
      <c r="F49" t="s">
        <v>55</v>
      </c>
      <c r="G49">
        <v>910</v>
      </c>
      <c r="H49" t="str">
        <f t="shared" si="9"/>
        <v>90791</v>
      </c>
      <c r="I49">
        <v>200</v>
      </c>
      <c r="J49">
        <v>0</v>
      </c>
      <c r="K49" t="str">
        <f t="shared" si="7"/>
        <v>31000</v>
      </c>
    </row>
    <row r="50" spans="1:14" x14ac:dyDescent="0.3">
      <c r="A50" t="s">
        <v>17</v>
      </c>
      <c r="B50" t="s">
        <v>18</v>
      </c>
      <c r="C50" t="str">
        <f t="shared" si="4"/>
        <v>275</v>
      </c>
      <c r="D50" t="str">
        <f>"8200011"</f>
        <v>8200011</v>
      </c>
      <c r="E50" t="s">
        <v>19</v>
      </c>
      <c r="F50" t="s">
        <v>57</v>
      </c>
      <c r="G50">
        <v>910</v>
      </c>
      <c r="H50" t="str">
        <f>"99232"</f>
        <v>99232</v>
      </c>
      <c r="I50">
        <v>75</v>
      </c>
      <c r="J50">
        <v>0</v>
      </c>
      <c r="K50" t="str">
        <f t="shared" si="7"/>
        <v>31000</v>
      </c>
    </row>
    <row r="51" spans="1:14" x14ac:dyDescent="0.3">
      <c r="A51" t="s">
        <v>17</v>
      </c>
      <c r="B51" t="s">
        <v>18</v>
      </c>
      <c r="C51" t="str">
        <f t="shared" si="4"/>
        <v>275</v>
      </c>
      <c r="D51" t="str">
        <f>"8200012"</f>
        <v>8200012</v>
      </c>
      <c r="E51" t="s">
        <v>19</v>
      </c>
      <c r="F51" t="s">
        <v>57</v>
      </c>
      <c r="G51">
        <v>910</v>
      </c>
      <c r="H51" t="str">
        <f>""</f>
        <v/>
      </c>
      <c r="I51">
        <v>75</v>
      </c>
      <c r="J51">
        <v>0</v>
      </c>
      <c r="K51" t="str">
        <f t="shared" si="7"/>
        <v>31000</v>
      </c>
      <c r="L51" t="str">
        <f t="shared" ref="L51:N53" si="11">"0"</f>
        <v>0</v>
      </c>
      <c r="M51" t="str">
        <f t="shared" si="11"/>
        <v>0</v>
      </c>
      <c r="N51" t="str">
        <f t="shared" si="11"/>
        <v>0</v>
      </c>
    </row>
    <row r="52" spans="1:14" x14ac:dyDescent="0.3">
      <c r="A52" t="s">
        <v>17</v>
      </c>
      <c r="B52" t="s">
        <v>18</v>
      </c>
      <c r="C52" t="str">
        <f t="shared" si="4"/>
        <v>275</v>
      </c>
      <c r="D52" t="str">
        <f>"8200013"</f>
        <v>8200013</v>
      </c>
      <c r="E52" t="s">
        <v>19</v>
      </c>
      <c r="F52" t="s">
        <v>57</v>
      </c>
      <c r="G52">
        <v>910</v>
      </c>
      <c r="H52" t="str">
        <f>"99232"</f>
        <v>99232</v>
      </c>
      <c r="I52">
        <v>75</v>
      </c>
      <c r="J52">
        <v>0</v>
      </c>
      <c r="K52" t="str">
        <f t="shared" si="7"/>
        <v>31000</v>
      </c>
      <c r="L52" t="str">
        <f t="shared" si="11"/>
        <v>0</v>
      </c>
      <c r="M52" t="str">
        <f t="shared" si="11"/>
        <v>0</v>
      </c>
      <c r="N52" t="str">
        <f t="shared" si="11"/>
        <v>0</v>
      </c>
    </row>
    <row r="53" spans="1:14" x14ac:dyDescent="0.3">
      <c r="A53" t="s">
        <v>17</v>
      </c>
      <c r="B53" t="s">
        <v>18</v>
      </c>
      <c r="C53" t="str">
        <f t="shared" si="4"/>
        <v>275</v>
      </c>
      <c r="D53" t="str">
        <f>"8200014"</f>
        <v>8200014</v>
      </c>
      <c r="E53" t="s">
        <v>19</v>
      </c>
      <c r="F53" t="s">
        <v>57</v>
      </c>
      <c r="G53">
        <v>910</v>
      </c>
      <c r="H53" t="str">
        <f>"99232"</f>
        <v>99232</v>
      </c>
      <c r="I53">
        <v>75</v>
      </c>
      <c r="J53">
        <v>0</v>
      </c>
      <c r="K53" t="str">
        <f t="shared" si="7"/>
        <v>31000</v>
      </c>
      <c r="L53" t="str">
        <f t="shared" si="11"/>
        <v>0</v>
      </c>
      <c r="M53" t="str">
        <f t="shared" si="11"/>
        <v>0</v>
      </c>
      <c r="N53" t="str">
        <f t="shared" si="11"/>
        <v>0</v>
      </c>
    </row>
    <row r="54" spans="1:14" x14ac:dyDescent="0.3">
      <c r="A54" t="s">
        <v>17</v>
      </c>
      <c r="B54" t="s">
        <v>18</v>
      </c>
      <c r="C54" t="str">
        <f t="shared" si="4"/>
        <v>275</v>
      </c>
      <c r="D54" t="str">
        <f>"8200015"</f>
        <v>8200015</v>
      </c>
      <c r="E54" t="s">
        <v>19</v>
      </c>
      <c r="F54" t="s">
        <v>58</v>
      </c>
      <c r="G54">
        <v>910</v>
      </c>
      <c r="H54" t="str">
        <f>"99232"</f>
        <v>99232</v>
      </c>
      <c r="I54">
        <v>75</v>
      </c>
      <c r="J54">
        <v>0</v>
      </c>
      <c r="K54" t="str">
        <f t="shared" si="7"/>
        <v>31000</v>
      </c>
    </row>
    <row r="55" spans="1:14" x14ac:dyDescent="0.3">
      <c r="A55" t="s">
        <v>17</v>
      </c>
      <c r="B55" t="s">
        <v>18</v>
      </c>
      <c r="C55" t="str">
        <f t="shared" si="4"/>
        <v>275</v>
      </c>
      <c r="D55" t="str">
        <f>"8200019"</f>
        <v>8200019</v>
      </c>
      <c r="E55" t="s">
        <v>19</v>
      </c>
      <c r="F55" t="s">
        <v>57</v>
      </c>
      <c r="G55">
        <v>910</v>
      </c>
      <c r="H55" t="str">
        <f>"99232"</f>
        <v>99232</v>
      </c>
      <c r="I55">
        <v>75</v>
      </c>
      <c r="J55">
        <v>0</v>
      </c>
      <c r="K55" t="str">
        <f t="shared" si="7"/>
        <v>31000</v>
      </c>
    </row>
    <row r="56" spans="1:14" x14ac:dyDescent="0.3">
      <c r="A56" t="s">
        <v>17</v>
      </c>
      <c r="B56" t="s">
        <v>18</v>
      </c>
      <c r="C56" t="str">
        <f t="shared" si="4"/>
        <v>275</v>
      </c>
      <c r="D56" t="str">
        <f>"8200031"</f>
        <v>8200031</v>
      </c>
      <c r="E56" t="s">
        <v>19</v>
      </c>
      <c r="F56" t="s">
        <v>59</v>
      </c>
      <c r="G56">
        <v>910</v>
      </c>
      <c r="H56" t="str">
        <f t="shared" ref="H56:H64" si="12">"99231"</f>
        <v>99231</v>
      </c>
      <c r="I56">
        <v>45</v>
      </c>
      <c r="J56">
        <v>0</v>
      </c>
      <c r="K56" t="str">
        <f t="shared" si="7"/>
        <v>31000</v>
      </c>
      <c r="L56" t="str">
        <f>"0"</f>
        <v>0</v>
      </c>
      <c r="M56" t="str">
        <f>"0"</f>
        <v>0</v>
      </c>
      <c r="N56" t="str">
        <f>"0"</f>
        <v>0</v>
      </c>
    </row>
    <row r="57" spans="1:14" x14ac:dyDescent="0.3">
      <c r="A57" t="s">
        <v>17</v>
      </c>
      <c r="B57" t="s">
        <v>18</v>
      </c>
      <c r="C57" t="str">
        <f t="shared" si="4"/>
        <v>275</v>
      </c>
      <c r="D57" t="str">
        <f>"82000310"</f>
        <v>82000310</v>
      </c>
      <c r="E57" t="s">
        <v>19</v>
      </c>
      <c r="F57" t="s">
        <v>60</v>
      </c>
      <c r="G57">
        <v>910</v>
      </c>
      <c r="H57" t="str">
        <f t="shared" si="12"/>
        <v>99231</v>
      </c>
      <c r="I57">
        <v>45</v>
      </c>
      <c r="J57">
        <v>0</v>
      </c>
      <c r="K57" t="str">
        <f t="shared" si="7"/>
        <v>31000</v>
      </c>
    </row>
    <row r="58" spans="1:14" x14ac:dyDescent="0.3">
      <c r="A58" t="s">
        <v>17</v>
      </c>
      <c r="B58" t="s">
        <v>18</v>
      </c>
      <c r="C58" t="str">
        <f t="shared" ref="C58:C89" si="13">"275"</f>
        <v>275</v>
      </c>
      <c r="D58" t="str">
        <f>"82000311"</f>
        <v>82000311</v>
      </c>
      <c r="E58" t="s">
        <v>19</v>
      </c>
      <c r="F58" t="s">
        <v>59</v>
      </c>
      <c r="G58">
        <v>910</v>
      </c>
      <c r="H58" t="str">
        <f t="shared" si="12"/>
        <v>99231</v>
      </c>
      <c r="I58">
        <v>45</v>
      </c>
      <c r="J58">
        <v>0</v>
      </c>
      <c r="K58" t="str">
        <f t="shared" si="7"/>
        <v>31000</v>
      </c>
    </row>
    <row r="59" spans="1:14" x14ac:dyDescent="0.3">
      <c r="A59" t="s">
        <v>17</v>
      </c>
      <c r="B59" t="s">
        <v>18</v>
      </c>
      <c r="C59" t="str">
        <f t="shared" si="13"/>
        <v>275</v>
      </c>
      <c r="D59" t="str">
        <f>"82000312"</f>
        <v>82000312</v>
      </c>
      <c r="E59" t="s">
        <v>19</v>
      </c>
      <c r="F59" t="s">
        <v>59</v>
      </c>
      <c r="G59">
        <v>910</v>
      </c>
      <c r="H59" t="str">
        <f t="shared" si="12"/>
        <v>99231</v>
      </c>
      <c r="I59">
        <v>45</v>
      </c>
      <c r="J59">
        <v>0</v>
      </c>
      <c r="K59" t="str">
        <f t="shared" si="7"/>
        <v>31000</v>
      </c>
    </row>
    <row r="60" spans="1:14" x14ac:dyDescent="0.3">
      <c r="A60" t="s">
        <v>17</v>
      </c>
      <c r="B60" t="s">
        <v>18</v>
      </c>
      <c r="C60" t="str">
        <f t="shared" si="13"/>
        <v>275</v>
      </c>
      <c r="D60" t="str">
        <f>"8200032"</f>
        <v>8200032</v>
      </c>
      <c r="E60" t="s">
        <v>19</v>
      </c>
      <c r="F60" t="s">
        <v>59</v>
      </c>
      <c r="G60">
        <v>910</v>
      </c>
      <c r="H60" t="str">
        <f t="shared" si="12"/>
        <v>99231</v>
      </c>
      <c r="I60">
        <v>45</v>
      </c>
      <c r="J60">
        <v>0</v>
      </c>
      <c r="K60" t="str">
        <f t="shared" si="7"/>
        <v>31000</v>
      </c>
      <c r="L60" t="str">
        <f t="shared" ref="L60:N62" si="14">"0"</f>
        <v>0</v>
      </c>
      <c r="M60" t="str">
        <f t="shared" si="14"/>
        <v>0</v>
      </c>
      <c r="N60" t="str">
        <f t="shared" si="14"/>
        <v>0</v>
      </c>
    </row>
    <row r="61" spans="1:14" x14ac:dyDescent="0.3">
      <c r="A61" t="s">
        <v>17</v>
      </c>
      <c r="B61" t="s">
        <v>18</v>
      </c>
      <c r="C61" t="str">
        <f t="shared" si="13"/>
        <v>275</v>
      </c>
      <c r="D61" t="str">
        <f>"8200033"</f>
        <v>8200033</v>
      </c>
      <c r="E61" t="s">
        <v>19</v>
      </c>
      <c r="F61" t="s">
        <v>59</v>
      </c>
      <c r="G61">
        <v>910</v>
      </c>
      <c r="H61" t="str">
        <f t="shared" si="12"/>
        <v>99231</v>
      </c>
      <c r="I61">
        <v>45</v>
      </c>
      <c r="J61">
        <v>0</v>
      </c>
      <c r="K61" t="str">
        <f t="shared" si="7"/>
        <v>31000</v>
      </c>
      <c r="L61" t="str">
        <f t="shared" si="14"/>
        <v>0</v>
      </c>
      <c r="M61" t="str">
        <f t="shared" si="14"/>
        <v>0</v>
      </c>
      <c r="N61" t="str">
        <f t="shared" si="14"/>
        <v>0</v>
      </c>
    </row>
    <row r="62" spans="1:14" x14ac:dyDescent="0.3">
      <c r="A62" t="s">
        <v>17</v>
      </c>
      <c r="B62" t="s">
        <v>18</v>
      </c>
      <c r="C62" t="str">
        <f t="shared" si="13"/>
        <v>275</v>
      </c>
      <c r="D62" t="str">
        <f>"8200034"</f>
        <v>8200034</v>
      </c>
      <c r="E62" t="s">
        <v>19</v>
      </c>
      <c r="F62" t="s">
        <v>59</v>
      </c>
      <c r="G62">
        <v>910</v>
      </c>
      <c r="H62" t="str">
        <f t="shared" si="12"/>
        <v>99231</v>
      </c>
      <c r="I62">
        <v>45</v>
      </c>
      <c r="J62">
        <v>0</v>
      </c>
      <c r="K62" t="str">
        <f t="shared" si="7"/>
        <v>31000</v>
      </c>
      <c r="L62" t="str">
        <f t="shared" si="14"/>
        <v>0</v>
      </c>
      <c r="M62" t="str">
        <f t="shared" si="14"/>
        <v>0</v>
      </c>
      <c r="N62" t="str">
        <f t="shared" si="14"/>
        <v>0</v>
      </c>
    </row>
    <row r="63" spans="1:14" x14ac:dyDescent="0.3">
      <c r="A63" t="s">
        <v>17</v>
      </c>
      <c r="B63" t="s">
        <v>18</v>
      </c>
      <c r="C63" t="str">
        <f t="shared" si="13"/>
        <v>275</v>
      </c>
      <c r="D63" t="str">
        <f>"8200035"</f>
        <v>8200035</v>
      </c>
      <c r="E63" t="s">
        <v>19</v>
      </c>
      <c r="F63" t="s">
        <v>58</v>
      </c>
      <c r="H63" t="str">
        <f t="shared" si="12"/>
        <v>99231</v>
      </c>
      <c r="I63">
        <v>45</v>
      </c>
      <c r="J63">
        <v>0</v>
      </c>
      <c r="K63" t="str">
        <f t="shared" si="7"/>
        <v>31000</v>
      </c>
    </row>
    <row r="64" spans="1:14" x14ac:dyDescent="0.3">
      <c r="A64" t="s">
        <v>17</v>
      </c>
      <c r="B64" t="s">
        <v>18</v>
      </c>
      <c r="C64" t="str">
        <f t="shared" si="13"/>
        <v>275</v>
      </c>
      <c r="D64" t="str">
        <f>"8200039"</f>
        <v>8200039</v>
      </c>
      <c r="E64" t="s">
        <v>19</v>
      </c>
      <c r="F64" t="s">
        <v>61</v>
      </c>
      <c r="G64">
        <v>910</v>
      </c>
      <c r="H64" t="str">
        <f t="shared" si="12"/>
        <v>99231</v>
      </c>
      <c r="I64">
        <v>45</v>
      </c>
      <c r="J64">
        <v>0</v>
      </c>
      <c r="K64" t="str">
        <f t="shared" si="7"/>
        <v>31000</v>
      </c>
    </row>
    <row r="65" spans="1:14" x14ac:dyDescent="0.3">
      <c r="A65" t="s">
        <v>17</v>
      </c>
      <c r="B65" t="s">
        <v>18</v>
      </c>
      <c r="C65" t="str">
        <f t="shared" si="13"/>
        <v>275</v>
      </c>
      <c r="D65" t="str">
        <f>"8200051"</f>
        <v>8200051</v>
      </c>
      <c r="E65" t="s">
        <v>19</v>
      </c>
      <c r="F65" t="s">
        <v>62</v>
      </c>
      <c r="G65">
        <v>910</v>
      </c>
      <c r="H65" t="str">
        <f>"99233"</f>
        <v>99233</v>
      </c>
      <c r="I65">
        <v>105</v>
      </c>
      <c r="J65">
        <v>0</v>
      </c>
      <c r="K65" t="str">
        <f t="shared" si="7"/>
        <v>31000</v>
      </c>
      <c r="L65" t="str">
        <f t="shared" ref="L65:N68" si="15">"0"</f>
        <v>0</v>
      </c>
      <c r="M65" t="str">
        <f t="shared" si="15"/>
        <v>0</v>
      </c>
      <c r="N65" t="str">
        <f t="shared" si="15"/>
        <v>0</v>
      </c>
    </row>
    <row r="66" spans="1:14" x14ac:dyDescent="0.3">
      <c r="A66" t="s">
        <v>17</v>
      </c>
      <c r="B66" t="s">
        <v>18</v>
      </c>
      <c r="C66" t="str">
        <f t="shared" si="13"/>
        <v>275</v>
      </c>
      <c r="D66" t="str">
        <f>"8200052"</f>
        <v>8200052</v>
      </c>
      <c r="E66" t="s">
        <v>19</v>
      </c>
      <c r="F66" t="s">
        <v>62</v>
      </c>
      <c r="G66">
        <v>910</v>
      </c>
      <c r="H66" t="str">
        <f>"99233"</f>
        <v>99233</v>
      </c>
      <c r="I66">
        <v>105</v>
      </c>
      <c r="J66">
        <v>0</v>
      </c>
      <c r="K66" t="str">
        <f t="shared" si="7"/>
        <v>31000</v>
      </c>
      <c r="L66" t="str">
        <f t="shared" si="15"/>
        <v>0</v>
      </c>
      <c r="M66" t="str">
        <f t="shared" si="15"/>
        <v>0</v>
      </c>
      <c r="N66" t="str">
        <f t="shared" si="15"/>
        <v>0</v>
      </c>
    </row>
    <row r="67" spans="1:14" x14ac:dyDescent="0.3">
      <c r="A67" t="s">
        <v>17</v>
      </c>
      <c r="B67" t="s">
        <v>18</v>
      </c>
      <c r="C67" t="str">
        <f t="shared" si="13"/>
        <v>275</v>
      </c>
      <c r="D67" t="str">
        <f>"8200053"</f>
        <v>8200053</v>
      </c>
      <c r="E67" t="s">
        <v>19</v>
      </c>
      <c r="F67" t="s">
        <v>62</v>
      </c>
      <c r="G67">
        <v>910</v>
      </c>
      <c r="H67" t="str">
        <f>"99233"</f>
        <v>99233</v>
      </c>
      <c r="I67">
        <v>105</v>
      </c>
      <c r="J67">
        <v>0</v>
      </c>
      <c r="K67" t="str">
        <f t="shared" si="7"/>
        <v>31000</v>
      </c>
      <c r="L67" t="str">
        <f t="shared" si="15"/>
        <v>0</v>
      </c>
      <c r="M67" t="str">
        <f t="shared" si="15"/>
        <v>0</v>
      </c>
      <c r="N67" t="str">
        <f t="shared" si="15"/>
        <v>0</v>
      </c>
    </row>
    <row r="68" spans="1:14" x14ac:dyDescent="0.3">
      <c r="A68" t="s">
        <v>17</v>
      </c>
      <c r="B68" t="s">
        <v>18</v>
      </c>
      <c r="C68" t="str">
        <f t="shared" si="13"/>
        <v>275</v>
      </c>
      <c r="D68" t="str">
        <f>"8200054"</f>
        <v>8200054</v>
      </c>
      <c r="E68" t="s">
        <v>19</v>
      </c>
      <c r="F68" t="s">
        <v>62</v>
      </c>
      <c r="G68">
        <v>910</v>
      </c>
      <c r="H68" t="str">
        <f>"99233"</f>
        <v>99233</v>
      </c>
      <c r="I68">
        <v>105</v>
      </c>
      <c r="J68">
        <v>0</v>
      </c>
      <c r="K68" t="str">
        <f t="shared" si="7"/>
        <v>31000</v>
      </c>
      <c r="L68" t="str">
        <f t="shared" si="15"/>
        <v>0</v>
      </c>
      <c r="M68" t="str">
        <f t="shared" si="15"/>
        <v>0</v>
      </c>
      <c r="N68" t="str">
        <f t="shared" si="15"/>
        <v>0</v>
      </c>
    </row>
    <row r="69" spans="1:14" x14ac:dyDescent="0.3">
      <c r="A69" t="s">
        <v>17</v>
      </c>
      <c r="B69" t="s">
        <v>18</v>
      </c>
      <c r="C69" t="str">
        <f t="shared" si="13"/>
        <v>275</v>
      </c>
      <c r="D69" t="str">
        <f>"8200059"</f>
        <v>8200059</v>
      </c>
      <c r="E69" t="s">
        <v>19</v>
      </c>
      <c r="F69" t="s">
        <v>62</v>
      </c>
      <c r="G69">
        <v>910</v>
      </c>
      <c r="H69" t="str">
        <f>"99233"</f>
        <v>99233</v>
      </c>
      <c r="I69">
        <v>105</v>
      </c>
      <c r="J69">
        <v>0</v>
      </c>
      <c r="K69" t="str">
        <f t="shared" si="7"/>
        <v>31000</v>
      </c>
    </row>
    <row r="70" spans="1:14" x14ac:dyDescent="0.3">
      <c r="A70" t="s">
        <v>17</v>
      </c>
      <c r="B70" t="s">
        <v>18</v>
      </c>
      <c r="C70" t="str">
        <f t="shared" si="13"/>
        <v>275</v>
      </c>
      <c r="D70" t="str">
        <f>"8600032"</f>
        <v>8600032</v>
      </c>
      <c r="E70" t="s">
        <v>19</v>
      </c>
      <c r="F70" t="s">
        <v>63</v>
      </c>
      <c r="G70">
        <v>910</v>
      </c>
      <c r="H70" t="str">
        <f>"90862"</f>
        <v>90862</v>
      </c>
      <c r="I70">
        <v>70</v>
      </c>
      <c r="J70">
        <v>0</v>
      </c>
      <c r="K70" t="str">
        <f t="shared" si="7"/>
        <v>31000</v>
      </c>
      <c r="L70" t="str">
        <f t="shared" ref="L70:N89" si="16">"0"</f>
        <v>0</v>
      </c>
      <c r="M70" t="str">
        <f t="shared" si="16"/>
        <v>0</v>
      </c>
      <c r="N70" t="str">
        <f t="shared" si="16"/>
        <v>0</v>
      </c>
    </row>
    <row r="71" spans="1:14" x14ac:dyDescent="0.3">
      <c r="A71" t="s">
        <v>17</v>
      </c>
      <c r="B71" t="s">
        <v>18</v>
      </c>
      <c r="C71" t="str">
        <f t="shared" si="13"/>
        <v>275</v>
      </c>
      <c r="D71" t="str">
        <f>"860031"</f>
        <v>860031</v>
      </c>
      <c r="E71" t="s">
        <v>19</v>
      </c>
      <c r="F71" t="s">
        <v>63</v>
      </c>
      <c r="G71">
        <v>910</v>
      </c>
      <c r="H71" t="str">
        <f>"90863"</f>
        <v>90863</v>
      </c>
      <c r="I71">
        <v>70</v>
      </c>
      <c r="J71">
        <v>0</v>
      </c>
      <c r="K71" t="str">
        <f t="shared" ref="K71:K104" si="17">"31000"</f>
        <v>31000</v>
      </c>
      <c r="L71" t="str">
        <f t="shared" si="16"/>
        <v>0</v>
      </c>
      <c r="M71" t="str">
        <f t="shared" si="16"/>
        <v>0</v>
      </c>
      <c r="N71" t="str">
        <f t="shared" si="16"/>
        <v>0</v>
      </c>
    </row>
    <row r="72" spans="1:14" x14ac:dyDescent="0.3">
      <c r="A72" t="s">
        <v>17</v>
      </c>
      <c r="B72" t="s">
        <v>18</v>
      </c>
      <c r="C72" t="str">
        <f t="shared" si="13"/>
        <v>275</v>
      </c>
      <c r="D72" t="str">
        <f>"860033"</f>
        <v>860033</v>
      </c>
      <c r="E72" t="s">
        <v>19</v>
      </c>
      <c r="F72" t="s">
        <v>64</v>
      </c>
      <c r="G72">
        <v>910</v>
      </c>
      <c r="H72" t="str">
        <f>"90863"</f>
        <v>90863</v>
      </c>
      <c r="I72">
        <v>70</v>
      </c>
      <c r="J72">
        <v>0</v>
      </c>
      <c r="K72" t="str">
        <f t="shared" si="17"/>
        <v>31000</v>
      </c>
      <c r="L72" t="str">
        <f t="shared" si="16"/>
        <v>0</v>
      </c>
      <c r="M72" t="str">
        <f t="shared" si="16"/>
        <v>0</v>
      </c>
      <c r="N72" t="str">
        <f t="shared" si="16"/>
        <v>0</v>
      </c>
    </row>
    <row r="73" spans="1:14" x14ac:dyDescent="0.3">
      <c r="A73" t="s">
        <v>17</v>
      </c>
      <c r="B73" t="s">
        <v>18</v>
      </c>
      <c r="C73" t="str">
        <f t="shared" si="13"/>
        <v>275</v>
      </c>
      <c r="D73" t="str">
        <f>"860034"</f>
        <v>860034</v>
      </c>
      <c r="E73" t="s">
        <v>19</v>
      </c>
      <c r="F73" t="s">
        <v>65</v>
      </c>
      <c r="G73">
        <v>910</v>
      </c>
      <c r="H73" t="str">
        <f>"90863"</f>
        <v>90863</v>
      </c>
      <c r="I73">
        <v>70</v>
      </c>
      <c r="J73">
        <v>0</v>
      </c>
      <c r="K73" t="str">
        <f t="shared" si="17"/>
        <v>31000</v>
      </c>
      <c r="L73" t="str">
        <f t="shared" si="16"/>
        <v>0</v>
      </c>
      <c r="M73" t="str">
        <f t="shared" si="16"/>
        <v>0</v>
      </c>
      <c r="N73" t="str">
        <f t="shared" si="16"/>
        <v>0</v>
      </c>
    </row>
    <row r="74" spans="1:14" x14ac:dyDescent="0.3">
      <c r="A74" t="s">
        <v>17</v>
      </c>
      <c r="B74" t="s">
        <v>18</v>
      </c>
      <c r="C74" t="str">
        <f t="shared" si="13"/>
        <v>275</v>
      </c>
      <c r="D74" t="str">
        <f>"8700251"</f>
        <v>8700251</v>
      </c>
      <c r="E74" t="s">
        <v>19</v>
      </c>
      <c r="F74" t="s">
        <v>66</v>
      </c>
      <c r="G74">
        <v>910</v>
      </c>
      <c r="H74" t="str">
        <f>"90847"</f>
        <v>90847</v>
      </c>
      <c r="I74">
        <v>120</v>
      </c>
      <c r="J74">
        <v>0</v>
      </c>
      <c r="K74" t="str">
        <f t="shared" si="17"/>
        <v>31000</v>
      </c>
      <c r="L74" t="str">
        <f t="shared" si="16"/>
        <v>0</v>
      </c>
      <c r="M74" t="str">
        <f t="shared" si="16"/>
        <v>0</v>
      </c>
      <c r="N74" t="str">
        <f t="shared" si="16"/>
        <v>0</v>
      </c>
    </row>
    <row r="75" spans="1:14" x14ac:dyDescent="0.3">
      <c r="A75" t="s">
        <v>17</v>
      </c>
      <c r="B75" t="s">
        <v>18</v>
      </c>
      <c r="C75" t="str">
        <f t="shared" si="13"/>
        <v>275</v>
      </c>
      <c r="D75" t="str">
        <f>"8700252"</f>
        <v>8700252</v>
      </c>
      <c r="E75" t="s">
        <v>19</v>
      </c>
      <c r="F75" t="s">
        <v>66</v>
      </c>
      <c r="G75">
        <v>910</v>
      </c>
      <c r="H75" t="str">
        <f>"90847"</f>
        <v>90847</v>
      </c>
      <c r="I75">
        <v>120</v>
      </c>
      <c r="J75">
        <v>0</v>
      </c>
      <c r="K75" t="str">
        <f t="shared" si="17"/>
        <v>31000</v>
      </c>
      <c r="L75" t="str">
        <f t="shared" si="16"/>
        <v>0</v>
      </c>
      <c r="M75" t="str">
        <f t="shared" si="16"/>
        <v>0</v>
      </c>
      <c r="N75" t="str">
        <f t="shared" si="16"/>
        <v>0</v>
      </c>
    </row>
    <row r="76" spans="1:14" x14ac:dyDescent="0.3">
      <c r="A76" t="s">
        <v>17</v>
      </c>
      <c r="B76" t="s">
        <v>18</v>
      </c>
      <c r="C76" t="str">
        <f t="shared" si="13"/>
        <v>275</v>
      </c>
      <c r="D76" t="str">
        <f>"8700253"</f>
        <v>8700253</v>
      </c>
      <c r="E76" t="s">
        <v>19</v>
      </c>
      <c r="F76" t="s">
        <v>66</v>
      </c>
      <c r="G76">
        <v>910</v>
      </c>
      <c r="H76" t="str">
        <f>"90847"</f>
        <v>90847</v>
      </c>
      <c r="I76">
        <v>120</v>
      </c>
      <c r="J76">
        <v>0</v>
      </c>
      <c r="K76" t="str">
        <f t="shared" si="17"/>
        <v>31000</v>
      </c>
      <c r="L76" t="str">
        <f t="shared" si="16"/>
        <v>0</v>
      </c>
      <c r="M76" t="str">
        <f t="shared" si="16"/>
        <v>0</v>
      </c>
      <c r="N76" t="str">
        <f t="shared" si="16"/>
        <v>0</v>
      </c>
    </row>
    <row r="77" spans="1:14" x14ac:dyDescent="0.3">
      <c r="A77" t="s">
        <v>17</v>
      </c>
      <c r="B77" t="s">
        <v>18</v>
      </c>
      <c r="C77" t="str">
        <f t="shared" si="13"/>
        <v>275</v>
      </c>
      <c r="D77" t="str">
        <f>"8700254"</f>
        <v>8700254</v>
      </c>
      <c r="E77" t="s">
        <v>19</v>
      </c>
      <c r="F77" t="s">
        <v>66</v>
      </c>
      <c r="G77">
        <v>910</v>
      </c>
      <c r="H77" t="str">
        <f>"90847"</f>
        <v>90847</v>
      </c>
      <c r="I77">
        <v>120</v>
      </c>
      <c r="J77">
        <v>0</v>
      </c>
      <c r="K77" t="str">
        <f t="shared" si="17"/>
        <v>31000</v>
      </c>
      <c r="L77" t="str">
        <f t="shared" si="16"/>
        <v>0</v>
      </c>
      <c r="M77" t="str">
        <f t="shared" si="16"/>
        <v>0</v>
      </c>
      <c r="N77" t="str">
        <f t="shared" si="16"/>
        <v>0</v>
      </c>
    </row>
    <row r="78" spans="1:14" x14ac:dyDescent="0.3">
      <c r="A78" t="s">
        <v>17</v>
      </c>
      <c r="B78" t="s">
        <v>18</v>
      </c>
      <c r="C78" t="str">
        <f t="shared" si="13"/>
        <v>275</v>
      </c>
      <c r="D78" t="str">
        <f>"870026"</f>
        <v>870026</v>
      </c>
      <c r="E78" t="s">
        <v>19</v>
      </c>
      <c r="F78" t="s">
        <v>67</v>
      </c>
      <c r="G78">
        <v>910</v>
      </c>
      <c r="H78" t="str">
        <f>"90846"</f>
        <v>90846</v>
      </c>
      <c r="I78">
        <v>135</v>
      </c>
      <c r="J78">
        <v>0</v>
      </c>
      <c r="K78" t="str">
        <f t="shared" si="17"/>
        <v>31000</v>
      </c>
      <c r="L78" t="str">
        <f t="shared" si="16"/>
        <v>0</v>
      </c>
      <c r="M78" t="str">
        <f t="shared" si="16"/>
        <v>0</v>
      </c>
      <c r="N78" t="str">
        <f t="shared" si="16"/>
        <v>0</v>
      </c>
    </row>
    <row r="79" spans="1:14" x14ac:dyDescent="0.3">
      <c r="A79" t="s">
        <v>17</v>
      </c>
      <c r="B79" t="s">
        <v>18</v>
      </c>
      <c r="C79" t="str">
        <f t="shared" si="13"/>
        <v>275</v>
      </c>
      <c r="D79" t="str">
        <f>"8700261"</f>
        <v>8700261</v>
      </c>
      <c r="E79" t="s">
        <v>19</v>
      </c>
      <c r="F79" t="s">
        <v>67</v>
      </c>
      <c r="G79">
        <v>910</v>
      </c>
      <c r="H79" t="str">
        <f>"90846"</f>
        <v>90846</v>
      </c>
      <c r="I79">
        <v>135</v>
      </c>
      <c r="J79">
        <v>0</v>
      </c>
      <c r="K79" t="str">
        <f t="shared" si="17"/>
        <v>31000</v>
      </c>
      <c r="L79" t="str">
        <f t="shared" si="16"/>
        <v>0</v>
      </c>
      <c r="M79" t="str">
        <f t="shared" si="16"/>
        <v>0</v>
      </c>
      <c r="N79" t="str">
        <f t="shared" si="16"/>
        <v>0</v>
      </c>
    </row>
    <row r="80" spans="1:14" x14ac:dyDescent="0.3">
      <c r="A80" t="s">
        <v>17</v>
      </c>
      <c r="B80" t="s">
        <v>18</v>
      </c>
      <c r="C80" t="str">
        <f t="shared" si="13"/>
        <v>275</v>
      </c>
      <c r="D80" t="str">
        <f>"8700262"</f>
        <v>8700262</v>
      </c>
      <c r="E80" t="s">
        <v>19</v>
      </c>
      <c r="F80" t="s">
        <v>67</v>
      </c>
      <c r="G80">
        <v>910</v>
      </c>
      <c r="H80" t="str">
        <f>"90846"</f>
        <v>90846</v>
      </c>
      <c r="I80">
        <v>135</v>
      </c>
      <c r="J80">
        <v>0</v>
      </c>
      <c r="K80" t="str">
        <f t="shared" si="17"/>
        <v>31000</v>
      </c>
      <c r="L80" t="str">
        <f t="shared" si="16"/>
        <v>0</v>
      </c>
      <c r="M80" t="str">
        <f t="shared" si="16"/>
        <v>0</v>
      </c>
      <c r="N80" t="str">
        <f t="shared" si="16"/>
        <v>0</v>
      </c>
    </row>
    <row r="81" spans="1:14" x14ac:dyDescent="0.3">
      <c r="A81" t="s">
        <v>17</v>
      </c>
      <c r="B81" t="s">
        <v>18</v>
      </c>
      <c r="C81" t="str">
        <f t="shared" si="13"/>
        <v>275</v>
      </c>
      <c r="D81" t="str">
        <f>"8700263"</f>
        <v>8700263</v>
      </c>
      <c r="E81" t="s">
        <v>19</v>
      </c>
      <c r="F81" t="s">
        <v>67</v>
      </c>
      <c r="G81">
        <v>910</v>
      </c>
      <c r="H81" t="str">
        <f>"90846"</f>
        <v>90846</v>
      </c>
      <c r="I81">
        <v>135</v>
      </c>
      <c r="J81">
        <v>0</v>
      </c>
      <c r="K81" t="str">
        <f t="shared" si="17"/>
        <v>31000</v>
      </c>
      <c r="L81" t="str">
        <f t="shared" si="16"/>
        <v>0</v>
      </c>
      <c r="M81" t="str">
        <f t="shared" si="16"/>
        <v>0</v>
      </c>
      <c r="N81" t="str">
        <f t="shared" si="16"/>
        <v>0</v>
      </c>
    </row>
    <row r="82" spans="1:14" x14ac:dyDescent="0.3">
      <c r="A82" t="s">
        <v>17</v>
      </c>
      <c r="B82" t="s">
        <v>18</v>
      </c>
      <c r="C82" t="str">
        <f t="shared" si="13"/>
        <v>275</v>
      </c>
      <c r="D82" t="str">
        <f>"8700264"</f>
        <v>8700264</v>
      </c>
      <c r="E82" t="s">
        <v>19</v>
      </c>
      <c r="F82" t="s">
        <v>67</v>
      </c>
      <c r="G82">
        <v>910</v>
      </c>
      <c r="H82" t="str">
        <f>"90846"</f>
        <v>90846</v>
      </c>
      <c r="I82">
        <v>135</v>
      </c>
      <c r="J82">
        <v>0</v>
      </c>
      <c r="K82" t="str">
        <f t="shared" si="17"/>
        <v>31000</v>
      </c>
      <c r="L82" t="str">
        <f t="shared" si="16"/>
        <v>0</v>
      </c>
      <c r="M82" t="str">
        <f t="shared" si="16"/>
        <v>0</v>
      </c>
      <c r="N82" t="str">
        <f t="shared" si="16"/>
        <v>0</v>
      </c>
    </row>
    <row r="83" spans="1:14" x14ac:dyDescent="0.3">
      <c r="A83" t="s">
        <v>17</v>
      </c>
      <c r="B83" t="s">
        <v>18</v>
      </c>
      <c r="C83" t="str">
        <f t="shared" si="13"/>
        <v>275</v>
      </c>
      <c r="D83" t="str">
        <f>"8804022"</f>
        <v>8804022</v>
      </c>
      <c r="E83" t="s">
        <v>19</v>
      </c>
      <c r="F83" t="s">
        <v>68</v>
      </c>
      <c r="G83">
        <v>910</v>
      </c>
      <c r="H83" t="str">
        <f>"90818"</f>
        <v>90818</v>
      </c>
      <c r="I83">
        <v>100</v>
      </c>
      <c r="J83">
        <v>0</v>
      </c>
      <c r="K83" t="str">
        <f t="shared" si="17"/>
        <v>31000</v>
      </c>
      <c r="L83" t="str">
        <f t="shared" si="16"/>
        <v>0</v>
      </c>
      <c r="M83" t="str">
        <f t="shared" si="16"/>
        <v>0</v>
      </c>
      <c r="N83" t="str">
        <f t="shared" si="16"/>
        <v>0</v>
      </c>
    </row>
    <row r="84" spans="1:14" x14ac:dyDescent="0.3">
      <c r="A84" t="s">
        <v>17</v>
      </c>
      <c r="B84" t="s">
        <v>18</v>
      </c>
      <c r="C84" t="str">
        <f t="shared" si="13"/>
        <v>275</v>
      </c>
      <c r="D84" t="str">
        <f>"8804032"</f>
        <v>8804032</v>
      </c>
      <c r="E84" t="s">
        <v>19</v>
      </c>
      <c r="F84" t="s">
        <v>69</v>
      </c>
      <c r="G84">
        <v>910</v>
      </c>
      <c r="H84" t="str">
        <f>"90819"</f>
        <v>90819</v>
      </c>
      <c r="I84">
        <v>110</v>
      </c>
      <c r="J84">
        <v>0</v>
      </c>
      <c r="K84" t="str">
        <f t="shared" si="17"/>
        <v>31000</v>
      </c>
      <c r="L84" t="str">
        <f t="shared" si="16"/>
        <v>0</v>
      </c>
      <c r="M84" t="str">
        <f t="shared" si="16"/>
        <v>0</v>
      </c>
      <c r="N84" t="str">
        <f t="shared" si="16"/>
        <v>0</v>
      </c>
    </row>
    <row r="85" spans="1:14" x14ac:dyDescent="0.3">
      <c r="A85" t="s">
        <v>17</v>
      </c>
      <c r="B85" t="s">
        <v>18</v>
      </c>
      <c r="C85" t="str">
        <f t="shared" si="13"/>
        <v>275</v>
      </c>
      <c r="D85" t="str">
        <f>"8804051"</f>
        <v>8804051</v>
      </c>
      <c r="E85" t="s">
        <v>19</v>
      </c>
      <c r="F85" t="s">
        <v>70</v>
      </c>
      <c r="G85">
        <v>910</v>
      </c>
      <c r="H85" t="str">
        <f>"90822"</f>
        <v>90822</v>
      </c>
      <c r="I85">
        <v>185</v>
      </c>
      <c r="J85">
        <v>0</v>
      </c>
      <c r="K85" t="str">
        <f t="shared" si="17"/>
        <v>31000</v>
      </c>
      <c r="L85" t="str">
        <f t="shared" si="16"/>
        <v>0</v>
      </c>
      <c r="M85" t="str">
        <f t="shared" si="16"/>
        <v>0</v>
      </c>
      <c r="N85" t="str">
        <f t="shared" si="16"/>
        <v>0</v>
      </c>
    </row>
    <row r="86" spans="1:14" x14ac:dyDescent="0.3">
      <c r="A86" t="s">
        <v>17</v>
      </c>
      <c r="B86" t="s">
        <v>18</v>
      </c>
      <c r="C86" t="str">
        <f t="shared" si="13"/>
        <v>275</v>
      </c>
      <c r="D86" t="str">
        <f>"8804052"</f>
        <v>8804052</v>
      </c>
      <c r="E86" t="s">
        <v>19</v>
      </c>
      <c r="F86" t="s">
        <v>70</v>
      </c>
      <c r="G86">
        <v>910</v>
      </c>
      <c r="H86" t="str">
        <f>"90822"</f>
        <v>90822</v>
      </c>
      <c r="I86">
        <v>185</v>
      </c>
      <c r="J86">
        <v>0</v>
      </c>
      <c r="K86" t="str">
        <f t="shared" si="17"/>
        <v>31000</v>
      </c>
      <c r="L86" t="str">
        <f t="shared" si="16"/>
        <v>0</v>
      </c>
      <c r="M86" t="str">
        <f t="shared" si="16"/>
        <v>0</v>
      </c>
      <c r="N86" t="str">
        <f t="shared" si="16"/>
        <v>0</v>
      </c>
    </row>
    <row r="87" spans="1:14" x14ac:dyDescent="0.3">
      <c r="A87" t="s">
        <v>17</v>
      </c>
      <c r="B87" t="s">
        <v>18</v>
      </c>
      <c r="C87" t="str">
        <f t="shared" si="13"/>
        <v>275</v>
      </c>
      <c r="D87" t="str">
        <f>"8804053"</f>
        <v>8804053</v>
      </c>
      <c r="E87" t="s">
        <v>19</v>
      </c>
      <c r="F87" t="s">
        <v>70</v>
      </c>
      <c r="G87">
        <v>910</v>
      </c>
      <c r="H87" t="str">
        <f>"90822"</f>
        <v>90822</v>
      </c>
      <c r="I87">
        <v>185</v>
      </c>
      <c r="J87">
        <v>0</v>
      </c>
      <c r="K87" t="str">
        <f t="shared" si="17"/>
        <v>31000</v>
      </c>
      <c r="L87" t="str">
        <f t="shared" si="16"/>
        <v>0</v>
      </c>
      <c r="M87" t="str">
        <f t="shared" si="16"/>
        <v>0</v>
      </c>
      <c r="N87" t="str">
        <f t="shared" si="16"/>
        <v>0</v>
      </c>
    </row>
    <row r="88" spans="1:14" x14ac:dyDescent="0.3">
      <c r="A88" t="s">
        <v>17</v>
      </c>
      <c r="B88" t="s">
        <v>18</v>
      </c>
      <c r="C88" t="str">
        <f t="shared" si="13"/>
        <v>275</v>
      </c>
      <c r="D88" t="str">
        <f>"8805002"</f>
        <v>8805002</v>
      </c>
      <c r="E88" t="s">
        <v>19</v>
      </c>
      <c r="F88" t="s">
        <v>71</v>
      </c>
      <c r="G88">
        <v>910</v>
      </c>
      <c r="H88" t="str">
        <f>"90816"</f>
        <v>90816</v>
      </c>
      <c r="I88">
        <v>75</v>
      </c>
      <c r="J88">
        <v>0</v>
      </c>
      <c r="K88" t="str">
        <f t="shared" si="17"/>
        <v>31000</v>
      </c>
      <c r="L88" t="str">
        <f t="shared" si="16"/>
        <v>0</v>
      </c>
      <c r="M88" t="str">
        <f t="shared" si="16"/>
        <v>0</v>
      </c>
      <c r="N88" t="str">
        <f t="shared" si="16"/>
        <v>0</v>
      </c>
    </row>
    <row r="89" spans="1:14" x14ac:dyDescent="0.3">
      <c r="A89" t="s">
        <v>17</v>
      </c>
      <c r="B89" t="s">
        <v>18</v>
      </c>
      <c r="C89" t="str">
        <f t="shared" si="13"/>
        <v>275</v>
      </c>
      <c r="D89" t="str">
        <f>"8805012"</f>
        <v>8805012</v>
      </c>
      <c r="E89" t="s">
        <v>19</v>
      </c>
      <c r="F89" t="s">
        <v>72</v>
      </c>
      <c r="G89">
        <v>910</v>
      </c>
      <c r="H89" t="str">
        <f>"90817"</f>
        <v>90817</v>
      </c>
      <c r="I89">
        <v>100</v>
      </c>
      <c r="J89">
        <v>0</v>
      </c>
      <c r="K89" t="str">
        <f t="shared" si="17"/>
        <v>31000</v>
      </c>
      <c r="L89" t="str">
        <f t="shared" si="16"/>
        <v>0</v>
      </c>
      <c r="M89" t="str">
        <f t="shared" si="16"/>
        <v>0</v>
      </c>
      <c r="N89" t="str">
        <f t="shared" si="16"/>
        <v>0</v>
      </c>
    </row>
    <row r="90" spans="1:14" x14ac:dyDescent="0.3">
      <c r="A90" t="s">
        <v>17</v>
      </c>
      <c r="B90" t="s">
        <v>18</v>
      </c>
      <c r="C90" t="str">
        <f t="shared" ref="C90:C101" si="18">"275"</f>
        <v>275</v>
      </c>
      <c r="D90" t="str">
        <f>"888421"</f>
        <v>888421</v>
      </c>
      <c r="E90" t="s">
        <v>19</v>
      </c>
      <c r="F90" t="s">
        <v>73</v>
      </c>
      <c r="G90">
        <v>910</v>
      </c>
      <c r="H90" t="str">
        <f>"90834"</f>
        <v>90834</v>
      </c>
      <c r="I90">
        <v>100</v>
      </c>
      <c r="J90">
        <v>0</v>
      </c>
      <c r="K90" t="str">
        <f t="shared" si="17"/>
        <v>31000</v>
      </c>
      <c r="L90" t="str">
        <f t="shared" ref="L90:N104" si="19">"0"</f>
        <v>0</v>
      </c>
      <c r="M90" t="str">
        <f t="shared" si="19"/>
        <v>0</v>
      </c>
      <c r="N90" t="str">
        <f t="shared" si="19"/>
        <v>0</v>
      </c>
    </row>
    <row r="91" spans="1:14" x14ac:dyDescent="0.3">
      <c r="A91" t="s">
        <v>17</v>
      </c>
      <c r="B91" t="s">
        <v>18</v>
      </c>
      <c r="C91" t="str">
        <f t="shared" si="18"/>
        <v>275</v>
      </c>
      <c r="D91" t="str">
        <f>"888423"</f>
        <v>888423</v>
      </c>
      <c r="E91" t="s">
        <v>19</v>
      </c>
      <c r="F91" t="s">
        <v>73</v>
      </c>
      <c r="G91">
        <v>910</v>
      </c>
      <c r="H91" t="str">
        <f>"90834"</f>
        <v>90834</v>
      </c>
      <c r="I91">
        <v>100</v>
      </c>
      <c r="J91">
        <v>0</v>
      </c>
      <c r="K91" t="str">
        <f t="shared" si="17"/>
        <v>31000</v>
      </c>
      <c r="L91" t="str">
        <f t="shared" si="19"/>
        <v>0</v>
      </c>
      <c r="M91" t="str">
        <f t="shared" si="19"/>
        <v>0</v>
      </c>
      <c r="N91" t="str">
        <f t="shared" si="19"/>
        <v>0</v>
      </c>
    </row>
    <row r="92" spans="1:14" x14ac:dyDescent="0.3">
      <c r="A92" t="s">
        <v>17</v>
      </c>
      <c r="B92" t="s">
        <v>18</v>
      </c>
      <c r="C92" t="str">
        <f t="shared" si="18"/>
        <v>275</v>
      </c>
      <c r="D92" t="str">
        <f>"888431"</f>
        <v>888431</v>
      </c>
      <c r="E92" t="s">
        <v>19</v>
      </c>
      <c r="F92" t="s">
        <v>74</v>
      </c>
      <c r="G92">
        <v>910</v>
      </c>
      <c r="H92" t="str">
        <f>"90836"</f>
        <v>90836</v>
      </c>
      <c r="I92">
        <v>110</v>
      </c>
      <c r="J92">
        <v>0</v>
      </c>
      <c r="K92" t="str">
        <f t="shared" si="17"/>
        <v>31000</v>
      </c>
      <c r="L92" t="str">
        <f t="shared" si="19"/>
        <v>0</v>
      </c>
      <c r="M92" t="str">
        <f t="shared" si="19"/>
        <v>0</v>
      </c>
      <c r="N92" t="str">
        <f t="shared" si="19"/>
        <v>0</v>
      </c>
    </row>
    <row r="93" spans="1:14" x14ac:dyDescent="0.3">
      <c r="A93" t="s">
        <v>17</v>
      </c>
      <c r="B93" t="s">
        <v>18</v>
      </c>
      <c r="C93" t="str">
        <f t="shared" si="18"/>
        <v>275</v>
      </c>
      <c r="D93" t="str">
        <f>"888433"</f>
        <v>888433</v>
      </c>
      <c r="E93" t="s">
        <v>19</v>
      </c>
      <c r="F93" t="s">
        <v>74</v>
      </c>
      <c r="G93">
        <v>910</v>
      </c>
      <c r="H93" t="str">
        <f>"90836"</f>
        <v>90836</v>
      </c>
      <c r="I93">
        <v>110</v>
      </c>
      <c r="J93">
        <v>0</v>
      </c>
      <c r="K93" t="str">
        <f t="shared" si="17"/>
        <v>31000</v>
      </c>
      <c r="L93" t="str">
        <f t="shared" si="19"/>
        <v>0</v>
      </c>
      <c r="M93" t="str">
        <f t="shared" si="19"/>
        <v>0</v>
      </c>
      <c r="N93" t="str">
        <f t="shared" si="19"/>
        <v>0</v>
      </c>
    </row>
    <row r="94" spans="1:14" x14ac:dyDescent="0.3">
      <c r="A94" t="s">
        <v>17</v>
      </c>
      <c r="B94" t="s">
        <v>18</v>
      </c>
      <c r="C94" t="str">
        <f t="shared" si="18"/>
        <v>275</v>
      </c>
      <c r="D94" t="str">
        <f>"888501"</f>
        <v>888501</v>
      </c>
      <c r="E94" t="s">
        <v>19</v>
      </c>
      <c r="F94" t="s">
        <v>71</v>
      </c>
      <c r="G94">
        <v>910</v>
      </c>
      <c r="H94" t="str">
        <f>"90832"</f>
        <v>90832</v>
      </c>
      <c r="I94">
        <v>75</v>
      </c>
      <c r="J94">
        <v>0</v>
      </c>
      <c r="K94" t="str">
        <f t="shared" si="17"/>
        <v>31000</v>
      </c>
      <c r="L94" t="str">
        <f t="shared" si="19"/>
        <v>0</v>
      </c>
      <c r="M94" t="str">
        <f t="shared" si="19"/>
        <v>0</v>
      </c>
      <c r="N94" t="str">
        <f t="shared" si="19"/>
        <v>0</v>
      </c>
    </row>
    <row r="95" spans="1:14" x14ac:dyDescent="0.3">
      <c r="A95" t="s">
        <v>17</v>
      </c>
      <c r="B95" t="s">
        <v>18</v>
      </c>
      <c r="C95" t="str">
        <f t="shared" si="18"/>
        <v>275</v>
      </c>
      <c r="D95" t="str">
        <f>"888503"</f>
        <v>888503</v>
      </c>
      <c r="E95" t="s">
        <v>19</v>
      </c>
      <c r="F95" t="s">
        <v>71</v>
      </c>
      <c r="G95">
        <v>910</v>
      </c>
      <c r="H95" t="str">
        <f>"90832"</f>
        <v>90832</v>
      </c>
      <c r="I95">
        <v>75</v>
      </c>
      <c r="J95">
        <v>0</v>
      </c>
      <c r="K95" t="str">
        <f t="shared" si="17"/>
        <v>31000</v>
      </c>
      <c r="L95" t="str">
        <f t="shared" si="19"/>
        <v>0</v>
      </c>
      <c r="M95" t="str">
        <f t="shared" si="19"/>
        <v>0</v>
      </c>
      <c r="N95" t="str">
        <f t="shared" si="19"/>
        <v>0</v>
      </c>
    </row>
    <row r="96" spans="1:14" x14ac:dyDescent="0.3">
      <c r="A96" t="s">
        <v>17</v>
      </c>
      <c r="B96" t="s">
        <v>18</v>
      </c>
      <c r="C96" t="str">
        <f t="shared" si="18"/>
        <v>275</v>
      </c>
      <c r="D96" t="str">
        <f>"888511"</f>
        <v>888511</v>
      </c>
      <c r="E96" t="s">
        <v>19</v>
      </c>
      <c r="F96" t="s">
        <v>75</v>
      </c>
      <c r="G96">
        <v>910</v>
      </c>
      <c r="H96" t="str">
        <f>"90833"</f>
        <v>90833</v>
      </c>
      <c r="I96">
        <v>100</v>
      </c>
      <c r="J96">
        <v>0</v>
      </c>
      <c r="K96" t="str">
        <f t="shared" si="17"/>
        <v>31000</v>
      </c>
      <c r="L96" t="str">
        <f t="shared" si="19"/>
        <v>0</v>
      </c>
      <c r="M96" t="str">
        <f t="shared" si="19"/>
        <v>0</v>
      </c>
      <c r="N96" t="str">
        <f t="shared" si="19"/>
        <v>0</v>
      </c>
    </row>
    <row r="97" spans="1:14" x14ac:dyDescent="0.3">
      <c r="A97" t="s">
        <v>17</v>
      </c>
      <c r="B97" t="s">
        <v>18</v>
      </c>
      <c r="C97" t="str">
        <f t="shared" si="18"/>
        <v>275</v>
      </c>
      <c r="D97" t="str">
        <f>"888513"</f>
        <v>888513</v>
      </c>
      <c r="E97" t="s">
        <v>19</v>
      </c>
      <c r="F97" t="s">
        <v>76</v>
      </c>
      <c r="G97">
        <v>910</v>
      </c>
      <c r="H97" t="str">
        <f>"90833"</f>
        <v>90833</v>
      </c>
      <c r="I97">
        <v>100</v>
      </c>
      <c r="J97">
        <v>0</v>
      </c>
      <c r="K97" t="str">
        <f t="shared" si="17"/>
        <v>31000</v>
      </c>
      <c r="L97" t="str">
        <f t="shared" si="19"/>
        <v>0</v>
      </c>
      <c r="M97" t="str">
        <f t="shared" si="19"/>
        <v>0</v>
      </c>
      <c r="N97" t="str">
        <f t="shared" si="19"/>
        <v>0</v>
      </c>
    </row>
    <row r="98" spans="1:14" x14ac:dyDescent="0.3">
      <c r="A98" t="s">
        <v>17</v>
      </c>
      <c r="B98" t="s">
        <v>18</v>
      </c>
      <c r="C98" t="str">
        <f t="shared" si="18"/>
        <v>275</v>
      </c>
      <c r="D98" t="str">
        <f>"8900011"</f>
        <v>8900011</v>
      </c>
      <c r="E98" t="s">
        <v>19</v>
      </c>
      <c r="F98" t="s">
        <v>77</v>
      </c>
      <c r="G98">
        <v>910</v>
      </c>
      <c r="H98" t="str">
        <f>"90853"</f>
        <v>90853</v>
      </c>
      <c r="I98">
        <v>35</v>
      </c>
      <c r="J98">
        <v>0</v>
      </c>
      <c r="K98" t="str">
        <f t="shared" si="17"/>
        <v>31000</v>
      </c>
      <c r="L98" t="str">
        <f t="shared" si="19"/>
        <v>0</v>
      </c>
      <c r="M98" t="str">
        <f t="shared" si="19"/>
        <v>0</v>
      </c>
      <c r="N98" t="str">
        <f t="shared" si="19"/>
        <v>0</v>
      </c>
    </row>
    <row r="99" spans="1:14" x14ac:dyDescent="0.3">
      <c r="A99" t="s">
        <v>17</v>
      </c>
      <c r="B99" t="s">
        <v>18</v>
      </c>
      <c r="C99" t="str">
        <f t="shared" si="18"/>
        <v>275</v>
      </c>
      <c r="D99" t="str">
        <f>"8900012"</f>
        <v>8900012</v>
      </c>
      <c r="E99" t="s">
        <v>19</v>
      </c>
      <c r="F99" t="s">
        <v>77</v>
      </c>
      <c r="G99">
        <v>910</v>
      </c>
      <c r="H99" t="str">
        <f>"90853"</f>
        <v>90853</v>
      </c>
      <c r="I99">
        <v>35</v>
      </c>
      <c r="J99">
        <v>0</v>
      </c>
      <c r="K99" t="str">
        <f t="shared" si="17"/>
        <v>31000</v>
      </c>
      <c r="L99" t="str">
        <f t="shared" si="19"/>
        <v>0</v>
      </c>
      <c r="M99" t="str">
        <f t="shared" si="19"/>
        <v>0</v>
      </c>
      <c r="N99" t="str">
        <f t="shared" si="19"/>
        <v>0</v>
      </c>
    </row>
    <row r="100" spans="1:14" x14ac:dyDescent="0.3">
      <c r="A100" t="s">
        <v>17</v>
      </c>
      <c r="B100" t="s">
        <v>18</v>
      </c>
      <c r="C100" t="str">
        <f t="shared" si="18"/>
        <v>275</v>
      </c>
      <c r="D100" t="str">
        <f>"8900013"</f>
        <v>8900013</v>
      </c>
      <c r="E100" t="s">
        <v>19</v>
      </c>
      <c r="F100" t="s">
        <v>77</v>
      </c>
      <c r="G100">
        <v>910</v>
      </c>
      <c r="H100" t="str">
        <f>"90853"</f>
        <v>90853</v>
      </c>
      <c r="I100">
        <v>35</v>
      </c>
      <c r="J100">
        <v>0</v>
      </c>
      <c r="K100" t="str">
        <f t="shared" si="17"/>
        <v>31000</v>
      </c>
      <c r="L100" t="str">
        <f t="shared" si="19"/>
        <v>0</v>
      </c>
      <c r="M100" t="str">
        <f t="shared" si="19"/>
        <v>0</v>
      </c>
      <c r="N100" t="str">
        <f t="shared" si="19"/>
        <v>0</v>
      </c>
    </row>
    <row r="101" spans="1:14" x14ac:dyDescent="0.3">
      <c r="A101" t="s">
        <v>17</v>
      </c>
      <c r="B101" t="s">
        <v>18</v>
      </c>
      <c r="C101" t="str">
        <f t="shared" si="18"/>
        <v>275</v>
      </c>
      <c r="D101" t="str">
        <f>"8900014"</f>
        <v>8900014</v>
      </c>
      <c r="E101" t="s">
        <v>19</v>
      </c>
      <c r="F101" t="s">
        <v>77</v>
      </c>
      <c r="G101">
        <v>910</v>
      </c>
      <c r="H101" t="str">
        <f>"90853"</f>
        <v>90853</v>
      </c>
      <c r="I101">
        <v>35</v>
      </c>
      <c r="J101">
        <v>0</v>
      </c>
      <c r="K101" t="str">
        <f t="shared" si="17"/>
        <v>31000</v>
      </c>
      <c r="L101" t="str">
        <f t="shared" si="19"/>
        <v>0</v>
      </c>
      <c r="M101" t="str">
        <f t="shared" si="19"/>
        <v>0</v>
      </c>
      <c r="N101" t="str">
        <f t="shared" si="19"/>
        <v>0</v>
      </c>
    </row>
    <row r="102" spans="1:14" x14ac:dyDescent="0.3">
      <c r="A102" t="s">
        <v>17</v>
      </c>
      <c r="B102" t="s">
        <v>18</v>
      </c>
      <c r="C102" t="str">
        <f>"325"</f>
        <v>325</v>
      </c>
      <c r="D102" t="str">
        <f>"130501"</f>
        <v>130501</v>
      </c>
      <c r="E102" t="s">
        <v>19</v>
      </c>
      <c r="F102" t="s">
        <v>78</v>
      </c>
      <c r="G102">
        <v>914</v>
      </c>
      <c r="H102" t="str">
        <f>""</f>
        <v/>
      </c>
      <c r="I102">
        <v>90</v>
      </c>
      <c r="J102">
        <v>0</v>
      </c>
      <c r="K102" t="str">
        <f t="shared" si="17"/>
        <v>31000</v>
      </c>
      <c r="L102" t="str">
        <f t="shared" si="19"/>
        <v>0</v>
      </c>
      <c r="M102" t="str">
        <f t="shared" si="19"/>
        <v>0</v>
      </c>
      <c r="N102" t="str">
        <f t="shared" si="19"/>
        <v>0</v>
      </c>
    </row>
    <row r="103" spans="1:14" x14ac:dyDescent="0.3">
      <c r="A103" t="s">
        <v>17</v>
      </c>
      <c r="B103" t="s">
        <v>18</v>
      </c>
      <c r="C103" t="str">
        <f>"325"</f>
        <v>325</v>
      </c>
      <c r="D103" t="str">
        <f>"310505"</f>
        <v>310505</v>
      </c>
      <c r="E103" t="s">
        <v>19</v>
      </c>
      <c r="F103" t="s">
        <v>79</v>
      </c>
      <c r="G103">
        <v>914</v>
      </c>
      <c r="H103" t="str">
        <f>""</f>
        <v/>
      </c>
      <c r="I103">
        <v>80</v>
      </c>
      <c r="J103">
        <v>0</v>
      </c>
      <c r="K103" t="str">
        <f t="shared" si="17"/>
        <v>31000</v>
      </c>
      <c r="L103" t="str">
        <f t="shared" si="19"/>
        <v>0</v>
      </c>
      <c r="M103" t="str">
        <f t="shared" si="19"/>
        <v>0</v>
      </c>
      <c r="N103" t="str">
        <f t="shared" si="19"/>
        <v>0</v>
      </c>
    </row>
    <row r="104" spans="1:14" x14ac:dyDescent="0.3">
      <c r="A104" t="s">
        <v>17</v>
      </c>
      <c r="B104" t="s">
        <v>18</v>
      </c>
      <c r="C104" t="str">
        <f>"325"</f>
        <v>325</v>
      </c>
      <c r="D104" t="str">
        <f>"310515"</f>
        <v>310515</v>
      </c>
      <c r="E104" t="s">
        <v>19</v>
      </c>
      <c r="F104" t="s">
        <v>80</v>
      </c>
      <c r="G104">
        <v>914</v>
      </c>
      <c r="H104" t="str">
        <f>""</f>
        <v/>
      </c>
      <c r="I104">
        <v>80</v>
      </c>
      <c r="J104">
        <v>0</v>
      </c>
      <c r="K104" t="str">
        <f t="shared" si="17"/>
        <v>31000</v>
      </c>
      <c r="L104" t="str">
        <f t="shared" si="19"/>
        <v>0</v>
      </c>
      <c r="M104" t="str">
        <f t="shared" si="19"/>
        <v>0</v>
      </c>
      <c r="N104" t="str">
        <f t="shared" si="19"/>
        <v>0</v>
      </c>
    </row>
    <row r="105" spans="1:14" x14ac:dyDescent="0.3">
      <c r="A105" t="s">
        <v>17</v>
      </c>
      <c r="B105" t="s">
        <v>18</v>
      </c>
      <c r="C105" t="str">
        <f>"325"</f>
        <v>325</v>
      </c>
      <c r="D105" t="str">
        <f>"990098"</f>
        <v>990098</v>
      </c>
      <c r="E105" t="s">
        <v>19</v>
      </c>
      <c r="F105" t="s">
        <v>81</v>
      </c>
      <c r="G105">
        <v>243</v>
      </c>
      <c r="I105">
        <v>110.09</v>
      </c>
      <c r="J105">
        <v>0</v>
      </c>
      <c r="K105" t="str">
        <f>"31050"</f>
        <v>31050</v>
      </c>
    </row>
    <row r="106" spans="1:14" x14ac:dyDescent="0.3">
      <c r="A106" t="s">
        <v>17</v>
      </c>
      <c r="B106" t="s">
        <v>18</v>
      </c>
      <c r="C106" t="str">
        <f>"325"</f>
        <v>325</v>
      </c>
      <c r="D106" t="str">
        <f>"990099"</f>
        <v>990099</v>
      </c>
      <c r="E106" t="s">
        <v>19</v>
      </c>
      <c r="F106" t="s">
        <v>82</v>
      </c>
      <c r="G106">
        <v>241</v>
      </c>
      <c r="I106">
        <v>210</v>
      </c>
      <c r="J106">
        <v>0</v>
      </c>
      <c r="K106" t="str">
        <f>"31050"</f>
        <v>31050</v>
      </c>
    </row>
    <row r="107" spans="1:14" x14ac:dyDescent="0.3">
      <c r="A107" t="s">
        <v>17</v>
      </c>
      <c r="B107" t="s">
        <v>18</v>
      </c>
      <c r="C107" t="str">
        <f>"350"</f>
        <v>350</v>
      </c>
      <c r="D107" t="str">
        <f>"613257"</f>
        <v>613257</v>
      </c>
      <c r="E107" t="s">
        <v>19</v>
      </c>
      <c r="F107" t="s">
        <v>83</v>
      </c>
      <c r="G107">
        <v>270</v>
      </c>
      <c r="H107" t="str">
        <f>""</f>
        <v/>
      </c>
      <c r="I107">
        <v>7.77</v>
      </c>
      <c r="J107">
        <v>0</v>
      </c>
      <c r="K107" t="str">
        <f t="shared" ref="K107:K170" si="20">"31000"</f>
        <v>31000</v>
      </c>
      <c r="L107" t="str">
        <f t="shared" ref="L107:N129" si="21">"0"</f>
        <v>0</v>
      </c>
      <c r="M107" t="str">
        <f t="shared" si="21"/>
        <v>0</v>
      </c>
      <c r="N107" t="str">
        <f t="shared" si="21"/>
        <v>0</v>
      </c>
    </row>
    <row r="108" spans="1:14" x14ac:dyDescent="0.3">
      <c r="A108" t="s">
        <v>17</v>
      </c>
      <c r="B108" t="s">
        <v>18</v>
      </c>
      <c r="C108" t="str">
        <f>"350"</f>
        <v>350</v>
      </c>
      <c r="D108" t="str">
        <f>"649999"</f>
        <v>649999</v>
      </c>
      <c r="E108" t="s">
        <v>19</v>
      </c>
      <c r="F108" t="s">
        <v>84</v>
      </c>
      <c r="G108">
        <v>270</v>
      </c>
      <c r="I108">
        <v>35</v>
      </c>
      <c r="J108">
        <v>0</v>
      </c>
      <c r="K108" t="str">
        <f t="shared" si="20"/>
        <v>31000</v>
      </c>
      <c r="L108" t="str">
        <f t="shared" si="21"/>
        <v>0</v>
      </c>
      <c r="M108" t="str">
        <f t="shared" si="21"/>
        <v>0</v>
      </c>
      <c r="N108" t="str">
        <f t="shared" si="21"/>
        <v>0</v>
      </c>
    </row>
    <row r="109" spans="1:14" x14ac:dyDescent="0.3">
      <c r="A109" t="s">
        <v>17</v>
      </c>
      <c r="B109" t="s">
        <v>18</v>
      </c>
      <c r="C109" t="str">
        <f t="shared" ref="C109:C140" si="22">"375"</f>
        <v>375</v>
      </c>
      <c r="D109" t="str">
        <f>"600001"</f>
        <v>600001</v>
      </c>
      <c r="E109" t="s">
        <v>19</v>
      </c>
      <c r="F109" t="s">
        <v>85</v>
      </c>
      <c r="G109">
        <v>300</v>
      </c>
      <c r="H109" t="str">
        <f>""</f>
        <v/>
      </c>
      <c r="I109">
        <v>13.65</v>
      </c>
      <c r="J109">
        <v>0</v>
      </c>
      <c r="K109" t="str">
        <f t="shared" si="20"/>
        <v>31000</v>
      </c>
      <c r="L109" t="str">
        <f t="shared" si="21"/>
        <v>0</v>
      </c>
      <c r="M109" t="str">
        <f t="shared" si="21"/>
        <v>0</v>
      </c>
      <c r="N109" t="str">
        <f t="shared" si="21"/>
        <v>0</v>
      </c>
    </row>
    <row r="110" spans="1:14" x14ac:dyDescent="0.3">
      <c r="A110" t="s">
        <v>17</v>
      </c>
      <c r="B110" t="s">
        <v>18</v>
      </c>
      <c r="C110" t="str">
        <f t="shared" si="22"/>
        <v>375</v>
      </c>
      <c r="D110" t="str">
        <f>"600002"</f>
        <v>600002</v>
      </c>
      <c r="E110" t="s">
        <v>19</v>
      </c>
      <c r="F110" t="s">
        <v>86</v>
      </c>
      <c r="G110">
        <v>300</v>
      </c>
      <c r="H110" t="str">
        <f>""</f>
        <v/>
      </c>
      <c r="I110">
        <v>37.799999999999997</v>
      </c>
      <c r="J110">
        <v>0</v>
      </c>
      <c r="K110" t="str">
        <f t="shared" si="20"/>
        <v>31000</v>
      </c>
      <c r="L110" t="str">
        <f t="shared" si="21"/>
        <v>0</v>
      </c>
      <c r="M110" t="str">
        <f t="shared" si="21"/>
        <v>0</v>
      </c>
      <c r="N110" t="str">
        <f t="shared" si="21"/>
        <v>0</v>
      </c>
    </row>
    <row r="111" spans="1:14" x14ac:dyDescent="0.3">
      <c r="A111" t="s">
        <v>17</v>
      </c>
      <c r="B111" t="s">
        <v>18</v>
      </c>
      <c r="C111" t="str">
        <f t="shared" si="22"/>
        <v>375</v>
      </c>
      <c r="D111" t="str">
        <f>"600004"</f>
        <v>600004</v>
      </c>
      <c r="E111" t="s">
        <v>19</v>
      </c>
      <c r="F111" t="s">
        <v>87</v>
      </c>
      <c r="G111">
        <v>300</v>
      </c>
      <c r="H111" t="str">
        <f>""</f>
        <v/>
      </c>
      <c r="I111">
        <v>88.7</v>
      </c>
      <c r="J111">
        <v>0</v>
      </c>
      <c r="K111" t="str">
        <f t="shared" si="20"/>
        <v>31000</v>
      </c>
      <c r="L111" t="str">
        <f t="shared" si="21"/>
        <v>0</v>
      </c>
      <c r="M111" t="str">
        <f t="shared" si="21"/>
        <v>0</v>
      </c>
      <c r="N111" t="str">
        <f t="shared" si="21"/>
        <v>0</v>
      </c>
    </row>
    <row r="112" spans="1:14" x14ac:dyDescent="0.3">
      <c r="A112" t="s">
        <v>17</v>
      </c>
      <c r="B112" t="s">
        <v>18</v>
      </c>
      <c r="C112" t="str">
        <f t="shared" si="22"/>
        <v>375</v>
      </c>
      <c r="D112" t="str">
        <f>"600005"</f>
        <v>600005</v>
      </c>
      <c r="E112" t="s">
        <v>19</v>
      </c>
      <c r="F112" t="s">
        <v>88</v>
      </c>
      <c r="G112">
        <v>300</v>
      </c>
      <c r="H112" t="str">
        <f>""</f>
        <v/>
      </c>
      <c r="I112">
        <v>46</v>
      </c>
      <c r="J112">
        <v>0</v>
      </c>
      <c r="K112" t="str">
        <f t="shared" si="20"/>
        <v>31000</v>
      </c>
      <c r="L112" t="str">
        <f t="shared" si="21"/>
        <v>0</v>
      </c>
      <c r="M112" t="str">
        <f t="shared" si="21"/>
        <v>0</v>
      </c>
      <c r="N112" t="str">
        <f t="shared" si="21"/>
        <v>0</v>
      </c>
    </row>
    <row r="113" spans="1:14" x14ac:dyDescent="0.3">
      <c r="A113" t="s">
        <v>17</v>
      </c>
      <c r="B113" t="s">
        <v>18</v>
      </c>
      <c r="C113" t="str">
        <f t="shared" si="22"/>
        <v>375</v>
      </c>
      <c r="D113" t="str">
        <f>"600006"</f>
        <v>600006</v>
      </c>
      <c r="E113" t="s">
        <v>19</v>
      </c>
      <c r="F113" t="s">
        <v>89</v>
      </c>
      <c r="G113">
        <v>300</v>
      </c>
      <c r="H113" t="str">
        <f>""</f>
        <v/>
      </c>
      <c r="I113">
        <v>20.64</v>
      </c>
      <c r="J113">
        <v>0</v>
      </c>
      <c r="K113" t="str">
        <f t="shared" si="20"/>
        <v>31000</v>
      </c>
      <c r="L113" t="str">
        <f t="shared" si="21"/>
        <v>0</v>
      </c>
      <c r="M113" t="str">
        <f t="shared" si="21"/>
        <v>0</v>
      </c>
      <c r="N113" t="str">
        <f t="shared" si="21"/>
        <v>0</v>
      </c>
    </row>
    <row r="114" spans="1:14" x14ac:dyDescent="0.3">
      <c r="A114" t="s">
        <v>17</v>
      </c>
      <c r="B114" t="s">
        <v>18</v>
      </c>
      <c r="C114" t="str">
        <f t="shared" si="22"/>
        <v>375</v>
      </c>
      <c r="D114" t="str">
        <f>"600007"</f>
        <v>600007</v>
      </c>
      <c r="E114" t="s">
        <v>19</v>
      </c>
      <c r="F114" t="s">
        <v>90</v>
      </c>
      <c r="G114">
        <v>300</v>
      </c>
      <c r="H114" t="str">
        <f>""</f>
        <v/>
      </c>
      <c r="I114">
        <v>125.06</v>
      </c>
      <c r="J114">
        <v>0</v>
      </c>
      <c r="K114" t="str">
        <f t="shared" si="20"/>
        <v>31000</v>
      </c>
      <c r="L114" t="str">
        <f t="shared" si="21"/>
        <v>0</v>
      </c>
      <c r="M114" t="str">
        <f t="shared" si="21"/>
        <v>0</v>
      </c>
      <c r="N114" t="str">
        <f t="shared" si="21"/>
        <v>0</v>
      </c>
    </row>
    <row r="115" spans="1:14" x14ac:dyDescent="0.3">
      <c r="A115" t="s">
        <v>17</v>
      </c>
      <c r="B115" t="s">
        <v>18</v>
      </c>
      <c r="C115" t="str">
        <f t="shared" si="22"/>
        <v>375</v>
      </c>
      <c r="D115" t="str">
        <f>"600008"</f>
        <v>600008</v>
      </c>
      <c r="E115" t="s">
        <v>19</v>
      </c>
      <c r="F115" t="s">
        <v>91</v>
      </c>
      <c r="G115">
        <v>300</v>
      </c>
      <c r="H115" t="str">
        <f>""</f>
        <v/>
      </c>
      <c r="I115">
        <v>24.9</v>
      </c>
      <c r="J115">
        <v>0</v>
      </c>
      <c r="K115" t="str">
        <f t="shared" si="20"/>
        <v>31000</v>
      </c>
      <c r="L115" t="str">
        <f t="shared" si="21"/>
        <v>0</v>
      </c>
      <c r="M115" t="str">
        <f t="shared" si="21"/>
        <v>0</v>
      </c>
      <c r="N115" t="str">
        <f t="shared" si="21"/>
        <v>0</v>
      </c>
    </row>
    <row r="116" spans="1:14" x14ac:dyDescent="0.3">
      <c r="A116" t="s">
        <v>17</v>
      </c>
      <c r="B116" t="s">
        <v>18</v>
      </c>
      <c r="C116" t="str">
        <f t="shared" si="22"/>
        <v>375</v>
      </c>
      <c r="D116" t="str">
        <f>"600009"</f>
        <v>600009</v>
      </c>
      <c r="E116" t="s">
        <v>19</v>
      </c>
      <c r="F116" t="s">
        <v>92</v>
      </c>
      <c r="G116">
        <v>300</v>
      </c>
      <c r="H116" t="str">
        <f>""</f>
        <v/>
      </c>
      <c r="I116">
        <v>263.45999999999998</v>
      </c>
      <c r="J116">
        <v>0</v>
      </c>
      <c r="K116" t="str">
        <f t="shared" si="20"/>
        <v>31000</v>
      </c>
      <c r="L116" t="str">
        <f t="shared" si="21"/>
        <v>0</v>
      </c>
      <c r="M116" t="str">
        <f t="shared" si="21"/>
        <v>0</v>
      </c>
      <c r="N116" t="str">
        <f t="shared" si="21"/>
        <v>0</v>
      </c>
    </row>
    <row r="117" spans="1:14" x14ac:dyDescent="0.3">
      <c r="A117" t="s">
        <v>17</v>
      </c>
      <c r="B117" t="s">
        <v>18</v>
      </c>
      <c r="C117" t="str">
        <f t="shared" si="22"/>
        <v>375</v>
      </c>
      <c r="D117" t="str">
        <f>"600010"</f>
        <v>600010</v>
      </c>
      <c r="E117" t="s">
        <v>19</v>
      </c>
      <c r="F117" t="s">
        <v>93</v>
      </c>
      <c r="G117">
        <v>300</v>
      </c>
      <c r="H117" t="str">
        <f>""</f>
        <v/>
      </c>
      <c r="I117">
        <v>260.10000000000002</v>
      </c>
      <c r="J117">
        <v>0</v>
      </c>
      <c r="K117" t="str">
        <f t="shared" si="20"/>
        <v>31000</v>
      </c>
      <c r="L117" t="str">
        <f t="shared" si="21"/>
        <v>0</v>
      </c>
      <c r="M117" t="str">
        <f t="shared" si="21"/>
        <v>0</v>
      </c>
      <c r="N117" t="str">
        <f t="shared" si="21"/>
        <v>0</v>
      </c>
    </row>
    <row r="118" spans="1:14" x14ac:dyDescent="0.3">
      <c r="A118" t="s">
        <v>17</v>
      </c>
      <c r="B118" t="s">
        <v>18</v>
      </c>
      <c r="C118" t="str">
        <f t="shared" si="22"/>
        <v>375</v>
      </c>
      <c r="D118" t="str">
        <f>"600011"</f>
        <v>600011</v>
      </c>
      <c r="E118" t="s">
        <v>19</v>
      </c>
      <c r="F118" t="s">
        <v>94</v>
      </c>
      <c r="G118">
        <v>300</v>
      </c>
      <c r="H118" t="str">
        <f>""</f>
        <v/>
      </c>
      <c r="I118">
        <v>20.7</v>
      </c>
      <c r="J118">
        <v>0</v>
      </c>
      <c r="K118" t="str">
        <f t="shared" si="20"/>
        <v>31000</v>
      </c>
      <c r="L118" t="str">
        <f t="shared" si="21"/>
        <v>0</v>
      </c>
      <c r="M118" t="str">
        <f t="shared" si="21"/>
        <v>0</v>
      </c>
      <c r="N118" t="str">
        <f t="shared" si="21"/>
        <v>0</v>
      </c>
    </row>
    <row r="119" spans="1:14" x14ac:dyDescent="0.3">
      <c r="A119" t="s">
        <v>17</v>
      </c>
      <c r="B119" t="s">
        <v>18</v>
      </c>
      <c r="C119" t="str">
        <f t="shared" si="22"/>
        <v>375</v>
      </c>
      <c r="D119" t="str">
        <f>"600012"</f>
        <v>600012</v>
      </c>
      <c r="E119" t="s">
        <v>19</v>
      </c>
      <c r="F119" t="s">
        <v>95</v>
      </c>
      <c r="G119">
        <v>300</v>
      </c>
      <c r="H119" t="str">
        <f>""</f>
        <v/>
      </c>
      <c r="I119">
        <v>19.350000000000001</v>
      </c>
      <c r="J119">
        <v>0</v>
      </c>
      <c r="K119" t="str">
        <f t="shared" si="20"/>
        <v>31000</v>
      </c>
      <c r="L119" t="str">
        <f t="shared" si="21"/>
        <v>0</v>
      </c>
      <c r="M119" t="str">
        <f t="shared" si="21"/>
        <v>0</v>
      </c>
      <c r="N119" t="str">
        <f t="shared" si="21"/>
        <v>0</v>
      </c>
    </row>
    <row r="120" spans="1:14" x14ac:dyDescent="0.3">
      <c r="A120" t="s">
        <v>17</v>
      </c>
      <c r="B120" t="s">
        <v>18</v>
      </c>
      <c r="C120" t="str">
        <f t="shared" si="22"/>
        <v>375</v>
      </c>
      <c r="D120" t="str">
        <f>"600013"</f>
        <v>600013</v>
      </c>
      <c r="E120" t="s">
        <v>19</v>
      </c>
      <c r="F120" t="s">
        <v>96</v>
      </c>
      <c r="G120">
        <v>300</v>
      </c>
      <c r="H120" t="str">
        <f>""</f>
        <v/>
      </c>
      <c r="I120">
        <v>27.9</v>
      </c>
      <c r="J120">
        <v>0</v>
      </c>
      <c r="K120" t="str">
        <f t="shared" si="20"/>
        <v>31000</v>
      </c>
      <c r="L120" t="str">
        <f t="shared" si="21"/>
        <v>0</v>
      </c>
      <c r="M120" t="str">
        <f t="shared" si="21"/>
        <v>0</v>
      </c>
      <c r="N120" t="str">
        <f t="shared" si="21"/>
        <v>0</v>
      </c>
    </row>
    <row r="121" spans="1:14" x14ac:dyDescent="0.3">
      <c r="A121" t="s">
        <v>17</v>
      </c>
      <c r="B121" t="s">
        <v>18</v>
      </c>
      <c r="C121" t="str">
        <f t="shared" si="22"/>
        <v>375</v>
      </c>
      <c r="D121" t="str">
        <f>"600014"</f>
        <v>600014</v>
      </c>
      <c r="E121" t="s">
        <v>19</v>
      </c>
      <c r="F121" t="s">
        <v>97</v>
      </c>
      <c r="G121">
        <v>300</v>
      </c>
      <c r="H121" t="str">
        <f>""</f>
        <v/>
      </c>
      <c r="I121">
        <v>107.55</v>
      </c>
      <c r="J121">
        <v>0</v>
      </c>
      <c r="K121" t="str">
        <f t="shared" si="20"/>
        <v>31000</v>
      </c>
      <c r="L121" t="str">
        <f t="shared" si="21"/>
        <v>0</v>
      </c>
      <c r="M121" t="str">
        <f t="shared" si="21"/>
        <v>0</v>
      </c>
      <c r="N121" t="str">
        <f t="shared" si="21"/>
        <v>0</v>
      </c>
    </row>
    <row r="122" spans="1:14" x14ac:dyDescent="0.3">
      <c r="A122" t="s">
        <v>17</v>
      </c>
      <c r="B122" t="s">
        <v>18</v>
      </c>
      <c r="C122" t="str">
        <f t="shared" si="22"/>
        <v>375</v>
      </c>
      <c r="D122" t="str">
        <f>"600015"</f>
        <v>600015</v>
      </c>
      <c r="E122" t="s">
        <v>19</v>
      </c>
      <c r="F122" t="s">
        <v>98</v>
      </c>
      <c r="G122">
        <v>300</v>
      </c>
      <c r="H122" t="str">
        <f>""</f>
        <v/>
      </c>
      <c r="I122">
        <v>150.96</v>
      </c>
      <c r="J122">
        <v>0</v>
      </c>
      <c r="K122" t="str">
        <f t="shared" si="20"/>
        <v>31000</v>
      </c>
      <c r="L122" t="str">
        <f t="shared" si="21"/>
        <v>0</v>
      </c>
      <c r="M122" t="str">
        <f t="shared" si="21"/>
        <v>0</v>
      </c>
      <c r="N122" t="str">
        <f t="shared" si="21"/>
        <v>0</v>
      </c>
    </row>
    <row r="123" spans="1:14" x14ac:dyDescent="0.3">
      <c r="A123" t="s">
        <v>17</v>
      </c>
      <c r="B123" t="s">
        <v>18</v>
      </c>
      <c r="C123" t="str">
        <f t="shared" si="22"/>
        <v>375</v>
      </c>
      <c r="D123" t="str">
        <f>"600016"</f>
        <v>600016</v>
      </c>
      <c r="E123" t="s">
        <v>19</v>
      </c>
      <c r="F123" t="s">
        <v>99</v>
      </c>
      <c r="G123">
        <v>300</v>
      </c>
      <c r="H123" t="str">
        <f>"84134"</f>
        <v>84134</v>
      </c>
      <c r="I123">
        <v>67.400000000000006</v>
      </c>
      <c r="J123">
        <v>0</v>
      </c>
      <c r="K123" t="str">
        <f t="shared" si="20"/>
        <v>31000</v>
      </c>
      <c r="L123" t="str">
        <f t="shared" si="21"/>
        <v>0</v>
      </c>
      <c r="M123" t="str">
        <f t="shared" si="21"/>
        <v>0</v>
      </c>
      <c r="N123" t="str">
        <f t="shared" si="21"/>
        <v>0</v>
      </c>
    </row>
    <row r="124" spans="1:14" x14ac:dyDescent="0.3">
      <c r="A124" t="s">
        <v>17</v>
      </c>
      <c r="B124" t="s">
        <v>18</v>
      </c>
      <c r="C124" t="str">
        <f t="shared" si="22"/>
        <v>375</v>
      </c>
      <c r="D124" t="str">
        <f>"600017"</f>
        <v>600017</v>
      </c>
      <c r="E124" t="s">
        <v>19</v>
      </c>
      <c r="F124" t="s">
        <v>100</v>
      </c>
      <c r="G124">
        <v>300</v>
      </c>
      <c r="H124" t="str">
        <f>""</f>
        <v/>
      </c>
      <c r="I124">
        <v>298.33999999999997</v>
      </c>
      <c r="J124">
        <v>0</v>
      </c>
      <c r="K124" t="str">
        <f t="shared" si="20"/>
        <v>31000</v>
      </c>
      <c r="L124" t="str">
        <f t="shared" si="21"/>
        <v>0</v>
      </c>
      <c r="M124" t="str">
        <f t="shared" si="21"/>
        <v>0</v>
      </c>
      <c r="N124" t="str">
        <f t="shared" si="21"/>
        <v>0</v>
      </c>
    </row>
    <row r="125" spans="1:14" x14ac:dyDescent="0.3">
      <c r="A125" t="s">
        <v>17</v>
      </c>
      <c r="B125" t="s">
        <v>18</v>
      </c>
      <c r="C125" t="str">
        <f t="shared" si="22"/>
        <v>375</v>
      </c>
      <c r="D125" t="str">
        <f>"600018"</f>
        <v>600018</v>
      </c>
      <c r="E125" t="s">
        <v>19</v>
      </c>
      <c r="F125" t="s">
        <v>101</v>
      </c>
      <c r="G125">
        <v>300</v>
      </c>
      <c r="H125" t="str">
        <f>""</f>
        <v/>
      </c>
      <c r="I125">
        <v>6.86</v>
      </c>
      <c r="J125">
        <v>0</v>
      </c>
      <c r="K125" t="str">
        <f t="shared" si="20"/>
        <v>31000</v>
      </c>
      <c r="L125" t="str">
        <f t="shared" si="21"/>
        <v>0</v>
      </c>
      <c r="M125" t="str">
        <f t="shared" si="21"/>
        <v>0</v>
      </c>
      <c r="N125" t="str">
        <f t="shared" si="21"/>
        <v>0</v>
      </c>
    </row>
    <row r="126" spans="1:14" x14ac:dyDescent="0.3">
      <c r="A126" t="s">
        <v>17</v>
      </c>
      <c r="B126" t="s">
        <v>18</v>
      </c>
      <c r="C126" t="str">
        <f t="shared" si="22"/>
        <v>375</v>
      </c>
      <c r="D126" t="str">
        <f>"600020"</f>
        <v>600020</v>
      </c>
      <c r="E126" t="s">
        <v>19</v>
      </c>
      <c r="F126" t="s">
        <v>102</v>
      </c>
      <c r="G126">
        <v>300</v>
      </c>
      <c r="H126" t="str">
        <f>""</f>
        <v/>
      </c>
      <c r="I126">
        <v>37.799999999999997</v>
      </c>
      <c r="J126">
        <v>0</v>
      </c>
      <c r="K126" t="str">
        <f t="shared" si="20"/>
        <v>31000</v>
      </c>
      <c r="L126" t="str">
        <f t="shared" si="21"/>
        <v>0</v>
      </c>
      <c r="M126" t="str">
        <f t="shared" si="21"/>
        <v>0</v>
      </c>
      <c r="N126" t="str">
        <f t="shared" si="21"/>
        <v>0</v>
      </c>
    </row>
    <row r="127" spans="1:14" x14ac:dyDescent="0.3">
      <c r="A127" t="s">
        <v>17</v>
      </c>
      <c r="B127" t="s">
        <v>18</v>
      </c>
      <c r="C127" t="str">
        <f t="shared" si="22"/>
        <v>375</v>
      </c>
      <c r="D127" t="str">
        <f>"600042"</f>
        <v>600042</v>
      </c>
      <c r="E127" t="s">
        <v>19</v>
      </c>
      <c r="F127" t="s">
        <v>103</v>
      </c>
      <c r="G127">
        <v>300</v>
      </c>
      <c r="H127" t="str">
        <f>""</f>
        <v/>
      </c>
      <c r="I127">
        <v>10.45</v>
      </c>
      <c r="J127">
        <v>0</v>
      </c>
      <c r="K127" t="str">
        <f t="shared" si="20"/>
        <v>31000</v>
      </c>
      <c r="L127" t="str">
        <f t="shared" si="21"/>
        <v>0</v>
      </c>
      <c r="M127" t="str">
        <f t="shared" si="21"/>
        <v>0</v>
      </c>
      <c r="N127" t="str">
        <f t="shared" si="21"/>
        <v>0</v>
      </c>
    </row>
    <row r="128" spans="1:14" x14ac:dyDescent="0.3">
      <c r="A128" t="s">
        <v>17</v>
      </c>
      <c r="B128" t="s">
        <v>18</v>
      </c>
      <c r="C128" t="str">
        <f t="shared" si="22"/>
        <v>375</v>
      </c>
      <c r="D128" t="str">
        <f>"600044"</f>
        <v>600044</v>
      </c>
      <c r="E128" t="s">
        <v>19</v>
      </c>
      <c r="F128" t="s">
        <v>104</v>
      </c>
      <c r="G128">
        <v>300</v>
      </c>
      <c r="H128" t="str">
        <f>""</f>
        <v/>
      </c>
      <c r="I128">
        <v>33.450000000000003</v>
      </c>
      <c r="J128">
        <v>0</v>
      </c>
      <c r="K128" t="str">
        <f t="shared" si="20"/>
        <v>31000</v>
      </c>
      <c r="L128" t="str">
        <f t="shared" si="21"/>
        <v>0</v>
      </c>
      <c r="M128" t="str">
        <f t="shared" si="21"/>
        <v>0</v>
      </c>
      <c r="N128" t="str">
        <f t="shared" si="21"/>
        <v>0</v>
      </c>
    </row>
    <row r="129" spans="1:14" x14ac:dyDescent="0.3">
      <c r="A129" t="s">
        <v>17</v>
      </c>
      <c r="B129" t="s">
        <v>18</v>
      </c>
      <c r="C129" t="str">
        <f t="shared" si="22"/>
        <v>375</v>
      </c>
      <c r="D129" t="str">
        <f>"600045"</f>
        <v>600045</v>
      </c>
      <c r="E129" t="s">
        <v>19</v>
      </c>
      <c r="F129" t="s">
        <v>105</v>
      </c>
      <c r="G129">
        <v>300</v>
      </c>
      <c r="H129" t="str">
        <f>""</f>
        <v/>
      </c>
      <c r="I129">
        <v>24.3</v>
      </c>
      <c r="J129">
        <v>0</v>
      </c>
      <c r="K129" t="str">
        <f t="shared" si="20"/>
        <v>31000</v>
      </c>
      <c r="L129" t="str">
        <f t="shared" si="21"/>
        <v>0</v>
      </c>
      <c r="M129" t="str">
        <f t="shared" si="21"/>
        <v>0</v>
      </c>
      <c r="N129" t="str">
        <f t="shared" si="21"/>
        <v>0</v>
      </c>
    </row>
    <row r="130" spans="1:14" x14ac:dyDescent="0.3">
      <c r="A130" t="s">
        <v>17</v>
      </c>
      <c r="B130" t="s">
        <v>18</v>
      </c>
      <c r="C130" t="str">
        <f t="shared" si="22"/>
        <v>375</v>
      </c>
      <c r="D130" t="str">
        <f>"600046"</f>
        <v>600046</v>
      </c>
      <c r="E130" t="s">
        <v>19</v>
      </c>
      <c r="F130" t="s">
        <v>106</v>
      </c>
      <c r="G130">
        <v>300</v>
      </c>
      <c r="I130">
        <v>105</v>
      </c>
      <c r="J130">
        <v>0</v>
      </c>
      <c r="K130" t="str">
        <f t="shared" si="20"/>
        <v>31000</v>
      </c>
    </row>
    <row r="131" spans="1:14" x14ac:dyDescent="0.3">
      <c r="A131" t="s">
        <v>17</v>
      </c>
      <c r="B131" t="s">
        <v>18</v>
      </c>
      <c r="C131" t="str">
        <f t="shared" si="22"/>
        <v>375</v>
      </c>
      <c r="D131" t="str">
        <f>"600047"</f>
        <v>600047</v>
      </c>
      <c r="E131" t="s">
        <v>19</v>
      </c>
      <c r="F131" t="s">
        <v>107</v>
      </c>
      <c r="G131">
        <v>300</v>
      </c>
      <c r="I131">
        <v>507</v>
      </c>
      <c r="J131">
        <v>0</v>
      </c>
      <c r="K131" t="str">
        <f t="shared" si="20"/>
        <v>31000</v>
      </c>
    </row>
    <row r="132" spans="1:14" x14ac:dyDescent="0.3">
      <c r="A132" t="s">
        <v>17</v>
      </c>
      <c r="B132" t="s">
        <v>18</v>
      </c>
      <c r="C132" t="str">
        <f t="shared" si="22"/>
        <v>375</v>
      </c>
      <c r="D132" t="str">
        <f>"600048"</f>
        <v>600048</v>
      </c>
      <c r="E132" t="s">
        <v>19</v>
      </c>
      <c r="F132" t="s">
        <v>108</v>
      </c>
      <c r="G132">
        <v>300</v>
      </c>
      <c r="H132" t="str">
        <f>""</f>
        <v/>
      </c>
      <c r="I132">
        <v>35.18</v>
      </c>
      <c r="J132">
        <v>0</v>
      </c>
      <c r="K132" t="str">
        <f t="shared" si="20"/>
        <v>31000</v>
      </c>
      <c r="L132" t="str">
        <f t="shared" ref="L132:N151" si="23">"0"</f>
        <v>0</v>
      </c>
      <c r="M132" t="str">
        <f t="shared" si="23"/>
        <v>0</v>
      </c>
      <c r="N132" t="str">
        <f t="shared" si="23"/>
        <v>0</v>
      </c>
    </row>
    <row r="133" spans="1:14" x14ac:dyDescent="0.3">
      <c r="A133" t="s">
        <v>17</v>
      </c>
      <c r="B133" t="s">
        <v>18</v>
      </c>
      <c r="C133" t="str">
        <f t="shared" si="22"/>
        <v>375</v>
      </c>
      <c r="D133" t="str">
        <f>"600049"</f>
        <v>600049</v>
      </c>
      <c r="E133" t="s">
        <v>19</v>
      </c>
      <c r="F133" t="s">
        <v>109</v>
      </c>
      <c r="G133">
        <v>300</v>
      </c>
      <c r="H133" t="str">
        <f>""</f>
        <v/>
      </c>
      <c r="I133">
        <v>57.75</v>
      </c>
      <c r="J133">
        <v>0</v>
      </c>
      <c r="K133" t="str">
        <f t="shared" si="20"/>
        <v>31000</v>
      </c>
      <c r="L133" t="str">
        <f t="shared" si="23"/>
        <v>0</v>
      </c>
      <c r="M133" t="str">
        <f t="shared" si="23"/>
        <v>0</v>
      </c>
      <c r="N133" t="str">
        <f t="shared" si="23"/>
        <v>0</v>
      </c>
    </row>
    <row r="134" spans="1:14" x14ac:dyDescent="0.3">
      <c r="A134" t="s">
        <v>17</v>
      </c>
      <c r="B134" t="s">
        <v>18</v>
      </c>
      <c r="C134" t="str">
        <f t="shared" si="22"/>
        <v>375</v>
      </c>
      <c r="D134" t="str">
        <f>"600050"</f>
        <v>600050</v>
      </c>
      <c r="E134" t="s">
        <v>19</v>
      </c>
      <c r="F134" t="s">
        <v>110</v>
      </c>
      <c r="G134">
        <v>300</v>
      </c>
      <c r="H134" t="str">
        <f>""</f>
        <v/>
      </c>
      <c r="I134">
        <v>103.5</v>
      </c>
      <c r="J134">
        <v>0</v>
      </c>
      <c r="K134" t="str">
        <f t="shared" si="20"/>
        <v>31000</v>
      </c>
      <c r="L134" t="str">
        <f t="shared" si="23"/>
        <v>0</v>
      </c>
      <c r="M134" t="str">
        <f t="shared" si="23"/>
        <v>0</v>
      </c>
      <c r="N134" t="str">
        <f t="shared" si="23"/>
        <v>0</v>
      </c>
    </row>
    <row r="135" spans="1:14" x14ac:dyDescent="0.3">
      <c r="A135" t="s">
        <v>17</v>
      </c>
      <c r="B135" t="s">
        <v>18</v>
      </c>
      <c r="C135" t="str">
        <f t="shared" si="22"/>
        <v>375</v>
      </c>
      <c r="D135" t="str">
        <f>"600051"</f>
        <v>600051</v>
      </c>
      <c r="E135" t="s">
        <v>19</v>
      </c>
      <c r="F135" t="s">
        <v>111</v>
      </c>
      <c r="G135">
        <v>300</v>
      </c>
      <c r="H135" t="str">
        <f>""</f>
        <v/>
      </c>
      <c r="I135">
        <v>123.69</v>
      </c>
      <c r="J135">
        <v>0</v>
      </c>
      <c r="K135" t="str">
        <f t="shared" si="20"/>
        <v>31000</v>
      </c>
      <c r="L135" t="str">
        <f t="shared" si="23"/>
        <v>0</v>
      </c>
      <c r="M135" t="str">
        <f t="shared" si="23"/>
        <v>0</v>
      </c>
      <c r="N135" t="str">
        <f t="shared" si="23"/>
        <v>0</v>
      </c>
    </row>
    <row r="136" spans="1:14" x14ac:dyDescent="0.3">
      <c r="A136" t="s">
        <v>17</v>
      </c>
      <c r="B136" t="s">
        <v>18</v>
      </c>
      <c r="C136" t="str">
        <f t="shared" si="22"/>
        <v>375</v>
      </c>
      <c r="D136" t="str">
        <f>"600052"</f>
        <v>600052</v>
      </c>
      <c r="E136" t="s">
        <v>19</v>
      </c>
      <c r="F136" t="s">
        <v>112</v>
      </c>
      <c r="G136">
        <v>300</v>
      </c>
      <c r="H136" t="str">
        <f>""</f>
        <v/>
      </c>
      <c r="I136">
        <v>106.3</v>
      </c>
      <c r="J136">
        <v>0</v>
      </c>
      <c r="K136" t="str">
        <f t="shared" si="20"/>
        <v>31000</v>
      </c>
      <c r="L136" t="str">
        <f t="shared" si="23"/>
        <v>0</v>
      </c>
      <c r="M136" t="str">
        <f t="shared" si="23"/>
        <v>0</v>
      </c>
      <c r="N136" t="str">
        <f t="shared" si="23"/>
        <v>0</v>
      </c>
    </row>
    <row r="137" spans="1:14" x14ac:dyDescent="0.3">
      <c r="A137" t="s">
        <v>17</v>
      </c>
      <c r="B137" t="s">
        <v>18</v>
      </c>
      <c r="C137" t="str">
        <f t="shared" si="22"/>
        <v>375</v>
      </c>
      <c r="D137" t="str">
        <f>"600055"</f>
        <v>600055</v>
      </c>
      <c r="E137" t="s">
        <v>19</v>
      </c>
      <c r="F137" t="s">
        <v>113</v>
      </c>
      <c r="G137">
        <v>300</v>
      </c>
      <c r="H137" t="str">
        <f>""</f>
        <v/>
      </c>
      <c r="I137">
        <v>128.55000000000001</v>
      </c>
      <c r="J137">
        <v>0</v>
      </c>
      <c r="K137" t="str">
        <f t="shared" si="20"/>
        <v>31000</v>
      </c>
      <c r="L137" t="str">
        <f t="shared" si="23"/>
        <v>0</v>
      </c>
      <c r="M137" t="str">
        <f t="shared" si="23"/>
        <v>0</v>
      </c>
      <c r="N137" t="str">
        <f t="shared" si="23"/>
        <v>0</v>
      </c>
    </row>
    <row r="138" spans="1:14" x14ac:dyDescent="0.3">
      <c r="A138" t="s">
        <v>17</v>
      </c>
      <c r="B138" t="s">
        <v>18</v>
      </c>
      <c r="C138" t="str">
        <f t="shared" si="22"/>
        <v>375</v>
      </c>
      <c r="D138" t="str">
        <f>"600070"</f>
        <v>600070</v>
      </c>
      <c r="E138" t="s">
        <v>19</v>
      </c>
      <c r="F138" t="s">
        <v>114</v>
      </c>
      <c r="G138">
        <v>300</v>
      </c>
      <c r="H138" t="str">
        <f>""</f>
        <v/>
      </c>
      <c r="I138">
        <v>17</v>
      </c>
      <c r="J138">
        <v>0</v>
      </c>
      <c r="K138" t="str">
        <f t="shared" si="20"/>
        <v>31000</v>
      </c>
      <c r="L138" t="str">
        <f t="shared" si="23"/>
        <v>0</v>
      </c>
      <c r="M138" t="str">
        <f t="shared" si="23"/>
        <v>0</v>
      </c>
      <c r="N138" t="str">
        <f t="shared" si="23"/>
        <v>0</v>
      </c>
    </row>
    <row r="139" spans="1:14" x14ac:dyDescent="0.3">
      <c r="A139" t="s">
        <v>17</v>
      </c>
      <c r="B139" t="s">
        <v>18</v>
      </c>
      <c r="C139" t="str">
        <f t="shared" si="22"/>
        <v>375</v>
      </c>
      <c r="D139" t="str">
        <f>"600149"</f>
        <v>600149</v>
      </c>
      <c r="E139" t="s">
        <v>19</v>
      </c>
      <c r="F139" t="s">
        <v>115</v>
      </c>
      <c r="G139">
        <v>300</v>
      </c>
      <c r="H139" t="str">
        <f>""</f>
        <v/>
      </c>
      <c r="I139">
        <v>53.75</v>
      </c>
      <c r="J139">
        <v>0</v>
      </c>
      <c r="K139" t="str">
        <f t="shared" si="20"/>
        <v>31000</v>
      </c>
      <c r="L139" t="str">
        <f t="shared" si="23"/>
        <v>0</v>
      </c>
      <c r="M139" t="str">
        <f t="shared" si="23"/>
        <v>0</v>
      </c>
      <c r="N139" t="str">
        <f t="shared" si="23"/>
        <v>0</v>
      </c>
    </row>
    <row r="140" spans="1:14" x14ac:dyDescent="0.3">
      <c r="A140" t="s">
        <v>17</v>
      </c>
      <c r="B140" t="s">
        <v>18</v>
      </c>
      <c r="C140" t="str">
        <f t="shared" si="22"/>
        <v>375</v>
      </c>
      <c r="D140" t="str">
        <f>"600310"</f>
        <v>600310</v>
      </c>
      <c r="E140" t="s">
        <v>19</v>
      </c>
      <c r="F140" t="s">
        <v>116</v>
      </c>
      <c r="G140">
        <v>300</v>
      </c>
      <c r="H140" t="str">
        <f>"83789"</f>
        <v>83789</v>
      </c>
      <c r="I140">
        <v>144.84</v>
      </c>
      <c r="J140">
        <v>0</v>
      </c>
      <c r="K140" t="str">
        <f t="shared" si="20"/>
        <v>31000</v>
      </c>
      <c r="L140" t="str">
        <f t="shared" si="23"/>
        <v>0</v>
      </c>
      <c r="M140" t="str">
        <f t="shared" si="23"/>
        <v>0</v>
      </c>
      <c r="N140" t="str">
        <f t="shared" si="23"/>
        <v>0</v>
      </c>
    </row>
    <row r="141" spans="1:14" x14ac:dyDescent="0.3">
      <c r="A141" t="s">
        <v>17</v>
      </c>
      <c r="B141" t="s">
        <v>18</v>
      </c>
      <c r="C141" t="str">
        <f t="shared" ref="C141:C172" si="24">"375"</f>
        <v>375</v>
      </c>
      <c r="D141" t="str">
        <f>"600340"</f>
        <v>600340</v>
      </c>
      <c r="E141" t="s">
        <v>19</v>
      </c>
      <c r="F141" t="s">
        <v>117</v>
      </c>
      <c r="G141">
        <v>300</v>
      </c>
      <c r="H141" t="str">
        <f>""</f>
        <v/>
      </c>
      <c r="I141">
        <v>158.69999999999999</v>
      </c>
      <c r="J141">
        <v>0</v>
      </c>
      <c r="K141" t="str">
        <f t="shared" si="20"/>
        <v>31000</v>
      </c>
      <c r="L141" t="str">
        <f t="shared" si="23"/>
        <v>0</v>
      </c>
      <c r="M141" t="str">
        <f t="shared" si="23"/>
        <v>0</v>
      </c>
      <c r="N141" t="str">
        <f t="shared" si="23"/>
        <v>0</v>
      </c>
    </row>
    <row r="142" spans="1:14" x14ac:dyDescent="0.3">
      <c r="A142" t="s">
        <v>17</v>
      </c>
      <c r="B142" t="s">
        <v>18</v>
      </c>
      <c r="C142" t="str">
        <f t="shared" si="24"/>
        <v>375</v>
      </c>
      <c r="D142" t="str">
        <f>"600341"</f>
        <v>600341</v>
      </c>
      <c r="E142" t="s">
        <v>19</v>
      </c>
      <c r="F142" t="s">
        <v>118</v>
      </c>
      <c r="G142">
        <v>300</v>
      </c>
      <c r="H142" t="str">
        <f>""</f>
        <v/>
      </c>
      <c r="I142">
        <v>26</v>
      </c>
      <c r="J142">
        <v>0</v>
      </c>
      <c r="K142" t="str">
        <f t="shared" si="20"/>
        <v>31000</v>
      </c>
      <c r="L142" t="str">
        <f t="shared" si="23"/>
        <v>0</v>
      </c>
      <c r="M142" t="str">
        <f t="shared" si="23"/>
        <v>0</v>
      </c>
      <c r="N142" t="str">
        <f t="shared" si="23"/>
        <v>0</v>
      </c>
    </row>
    <row r="143" spans="1:14" x14ac:dyDescent="0.3">
      <c r="A143" t="s">
        <v>17</v>
      </c>
      <c r="B143" t="s">
        <v>18</v>
      </c>
      <c r="C143" t="str">
        <f t="shared" si="24"/>
        <v>375</v>
      </c>
      <c r="D143" t="str">
        <f>"600342"</f>
        <v>600342</v>
      </c>
      <c r="E143" t="s">
        <v>19</v>
      </c>
      <c r="F143" t="s">
        <v>119</v>
      </c>
      <c r="G143">
        <v>300</v>
      </c>
      <c r="H143" t="str">
        <f>""</f>
        <v/>
      </c>
      <c r="I143">
        <v>30</v>
      </c>
      <c r="J143">
        <v>0</v>
      </c>
      <c r="K143" t="str">
        <f t="shared" si="20"/>
        <v>31000</v>
      </c>
      <c r="L143" t="str">
        <f t="shared" si="23"/>
        <v>0</v>
      </c>
      <c r="M143" t="str">
        <f t="shared" si="23"/>
        <v>0</v>
      </c>
      <c r="N143" t="str">
        <f t="shared" si="23"/>
        <v>0</v>
      </c>
    </row>
    <row r="144" spans="1:14" x14ac:dyDescent="0.3">
      <c r="A144" t="s">
        <v>17</v>
      </c>
      <c r="B144" t="s">
        <v>18</v>
      </c>
      <c r="C144" t="str">
        <f t="shared" si="24"/>
        <v>375</v>
      </c>
      <c r="D144" t="str">
        <f>"600343"</f>
        <v>600343</v>
      </c>
      <c r="E144" t="s">
        <v>19</v>
      </c>
      <c r="F144" t="s">
        <v>120</v>
      </c>
      <c r="G144">
        <v>300</v>
      </c>
      <c r="H144" t="str">
        <f>""</f>
        <v/>
      </c>
      <c r="I144">
        <v>30</v>
      </c>
      <c r="J144">
        <v>0</v>
      </c>
      <c r="K144" t="str">
        <f t="shared" si="20"/>
        <v>31000</v>
      </c>
      <c r="L144" t="str">
        <f t="shared" si="23"/>
        <v>0</v>
      </c>
      <c r="M144" t="str">
        <f t="shared" si="23"/>
        <v>0</v>
      </c>
      <c r="N144" t="str">
        <f t="shared" si="23"/>
        <v>0</v>
      </c>
    </row>
    <row r="145" spans="1:14" x14ac:dyDescent="0.3">
      <c r="A145" t="s">
        <v>17</v>
      </c>
      <c r="B145" t="s">
        <v>18</v>
      </c>
      <c r="C145" t="str">
        <f t="shared" si="24"/>
        <v>375</v>
      </c>
      <c r="D145" t="str">
        <f>"600344"</f>
        <v>600344</v>
      </c>
      <c r="E145" t="s">
        <v>19</v>
      </c>
      <c r="F145" t="s">
        <v>121</v>
      </c>
      <c r="G145">
        <v>300</v>
      </c>
      <c r="H145" t="str">
        <f>""</f>
        <v/>
      </c>
      <c r="I145">
        <v>16</v>
      </c>
      <c r="J145">
        <v>0</v>
      </c>
      <c r="K145" t="str">
        <f t="shared" si="20"/>
        <v>31000</v>
      </c>
      <c r="L145" t="str">
        <f t="shared" si="23"/>
        <v>0</v>
      </c>
      <c r="M145" t="str">
        <f t="shared" si="23"/>
        <v>0</v>
      </c>
      <c r="N145" t="str">
        <f t="shared" si="23"/>
        <v>0</v>
      </c>
    </row>
    <row r="146" spans="1:14" x14ac:dyDescent="0.3">
      <c r="A146" t="s">
        <v>17</v>
      </c>
      <c r="B146" t="s">
        <v>18</v>
      </c>
      <c r="C146" t="str">
        <f t="shared" si="24"/>
        <v>375</v>
      </c>
      <c r="D146" t="str">
        <f>"600345"</f>
        <v>600345</v>
      </c>
      <c r="E146" t="s">
        <v>19</v>
      </c>
      <c r="F146" t="s">
        <v>122</v>
      </c>
      <c r="G146">
        <v>300</v>
      </c>
      <c r="H146" t="str">
        <f>""</f>
        <v/>
      </c>
      <c r="I146">
        <v>28</v>
      </c>
      <c r="J146">
        <v>0</v>
      </c>
      <c r="K146" t="str">
        <f t="shared" si="20"/>
        <v>31000</v>
      </c>
      <c r="L146" t="str">
        <f t="shared" si="23"/>
        <v>0</v>
      </c>
      <c r="M146" t="str">
        <f t="shared" si="23"/>
        <v>0</v>
      </c>
      <c r="N146" t="str">
        <f t="shared" si="23"/>
        <v>0</v>
      </c>
    </row>
    <row r="147" spans="1:14" x14ac:dyDescent="0.3">
      <c r="A147" t="s">
        <v>17</v>
      </c>
      <c r="B147" t="s">
        <v>18</v>
      </c>
      <c r="C147" t="str">
        <f t="shared" si="24"/>
        <v>375</v>
      </c>
      <c r="D147" t="str">
        <f>"600346"</f>
        <v>600346</v>
      </c>
      <c r="E147" t="s">
        <v>19</v>
      </c>
      <c r="F147" t="s">
        <v>123</v>
      </c>
      <c r="G147">
        <v>300</v>
      </c>
      <c r="H147" t="str">
        <f>""</f>
        <v/>
      </c>
      <c r="I147">
        <v>235.4</v>
      </c>
      <c r="J147">
        <v>0</v>
      </c>
      <c r="K147" t="str">
        <f t="shared" si="20"/>
        <v>31000</v>
      </c>
      <c r="L147" t="str">
        <f t="shared" si="23"/>
        <v>0</v>
      </c>
      <c r="M147" t="str">
        <f t="shared" si="23"/>
        <v>0</v>
      </c>
      <c r="N147" t="str">
        <f t="shared" si="23"/>
        <v>0</v>
      </c>
    </row>
    <row r="148" spans="1:14" x14ac:dyDescent="0.3">
      <c r="A148" t="s">
        <v>17</v>
      </c>
      <c r="B148" t="s">
        <v>18</v>
      </c>
      <c r="C148" t="str">
        <f t="shared" si="24"/>
        <v>375</v>
      </c>
      <c r="D148" t="str">
        <f>"600347"</f>
        <v>600347</v>
      </c>
      <c r="E148" t="s">
        <v>19</v>
      </c>
      <c r="F148" t="s">
        <v>124</v>
      </c>
      <c r="G148">
        <v>300</v>
      </c>
      <c r="H148" t="str">
        <f>""</f>
        <v/>
      </c>
      <c r="I148">
        <v>19.739999999999998</v>
      </c>
      <c r="J148">
        <v>0</v>
      </c>
      <c r="K148" t="str">
        <f t="shared" si="20"/>
        <v>31000</v>
      </c>
      <c r="L148" t="str">
        <f t="shared" si="23"/>
        <v>0</v>
      </c>
      <c r="M148" t="str">
        <f t="shared" si="23"/>
        <v>0</v>
      </c>
      <c r="N148" t="str">
        <f t="shared" si="23"/>
        <v>0</v>
      </c>
    </row>
    <row r="149" spans="1:14" x14ac:dyDescent="0.3">
      <c r="A149" t="s">
        <v>17</v>
      </c>
      <c r="B149" t="s">
        <v>18</v>
      </c>
      <c r="C149" t="str">
        <f t="shared" si="24"/>
        <v>375</v>
      </c>
      <c r="D149" t="str">
        <f>"600348"</f>
        <v>600348</v>
      </c>
      <c r="E149" t="s">
        <v>19</v>
      </c>
      <c r="F149" t="s">
        <v>125</v>
      </c>
      <c r="G149">
        <v>300</v>
      </c>
      <c r="H149" t="str">
        <f>""</f>
        <v/>
      </c>
      <c r="I149">
        <v>56.2</v>
      </c>
      <c r="J149">
        <v>0</v>
      </c>
      <c r="K149" t="str">
        <f t="shared" si="20"/>
        <v>31000</v>
      </c>
      <c r="L149" t="str">
        <f t="shared" si="23"/>
        <v>0</v>
      </c>
      <c r="M149" t="str">
        <f t="shared" si="23"/>
        <v>0</v>
      </c>
      <c r="N149" t="str">
        <f t="shared" si="23"/>
        <v>0</v>
      </c>
    </row>
    <row r="150" spans="1:14" x14ac:dyDescent="0.3">
      <c r="A150" t="s">
        <v>17</v>
      </c>
      <c r="B150" t="s">
        <v>18</v>
      </c>
      <c r="C150" t="str">
        <f t="shared" si="24"/>
        <v>375</v>
      </c>
      <c r="D150" t="str">
        <f>"600349"</f>
        <v>600349</v>
      </c>
      <c r="E150" t="s">
        <v>19</v>
      </c>
      <c r="F150" t="s">
        <v>126</v>
      </c>
      <c r="G150">
        <v>300</v>
      </c>
      <c r="H150" t="str">
        <f>""</f>
        <v/>
      </c>
      <c r="I150">
        <v>130.30000000000001</v>
      </c>
      <c r="J150">
        <v>0</v>
      </c>
      <c r="K150" t="str">
        <f t="shared" si="20"/>
        <v>31000</v>
      </c>
      <c r="L150" t="str">
        <f t="shared" si="23"/>
        <v>0</v>
      </c>
      <c r="M150" t="str">
        <f t="shared" si="23"/>
        <v>0</v>
      </c>
      <c r="N150" t="str">
        <f t="shared" si="23"/>
        <v>0</v>
      </c>
    </row>
    <row r="151" spans="1:14" x14ac:dyDescent="0.3">
      <c r="A151" t="s">
        <v>17</v>
      </c>
      <c r="B151" t="s">
        <v>18</v>
      </c>
      <c r="C151" t="str">
        <f t="shared" si="24"/>
        <v>375</v>
      </c>
      <c r="D151" t="str">
        <f>"600350"</f>
        <v>600350</v>
      </c>
      <c r="E151" t="s">
        <v>19</v>
      </c>
      <c r="F151" t="s">
        <v>127</v>
      </c>
      <c r="G151">
        <v>300</v>
      </c>
      <c r="H151" t="str">
        <f>""</f>
        <v/>
      </c>
      <c r="I151">
        <v>28.5</v>
      </c>
      <c r="J151">
        <v>0</v>
      </c>
      <c r="K151" t="str">
        <f t="shared" si="20"/>
        <v>31000</v>
      </c>
      <c r="L151" t="str">
        <f t="shared" si="23"/>
        <v>0</v>
      </c>
      <c r="M151" t="str">
        <f t="shared" si="23"/>
        <v>0</v>
      </c>
      <c r="N151" t="str">
        <f t="shared" si="23"/>
        <v>0</v>
      </c>
    </row>
    <row r="152" spans="1:14" x14ac:dyDescent="0.3">
      <c r="A152" t="s">
        <v>17</v>
      </c>
      <c r="B152" t="s">
        <v>18</v>
      </c>
      <c r="C152" t="str">
        <f t="shared" si="24"/>
        <v>375</v>
      </c>
      <c r="D152" t="str">
        <f>"600352"</f>
        <v>600352</v>
      </c>
      <c r="E152" t="s">
        <v>19</v>
      </c>
      <c r="F152" t="s">
        <v>128</v>
      </c>
      <c r="G152">
        <v>300</v>
      </c>
      <c r="H152" t="str">
        <f>""</f>
        <v/>
      </c>
      <c r="I152">
        <v>25</v>
      </c>
      <c r="J152">
        <v>0</v>
      </c>
      <c r="K152" t="str">
        <f t="shared" si="20"/>
        <v>31000</v>
      </c>
      <c r="L152" t="str">
        <f t="shared" ref="L152:N176" si="25">"0"</f>
        <v>0</v>
      </c>
      <c r="M152" t="str">
        <f t="shared" si="25"/>
        <v>0</v>
      </c>
      <c r="N152" t="str">
        <f t="shared" si="25"/>
        <v>0</v>
      </c>
    </row>
    <row r="153" spans="1:14" x14ac:dyDescent="0.3">
      <c r="A153" t="s">
        <v>17</v>
      </c>
      <c r="B153" t="s">
        <v>18</v>
      </c>
      <c r="C153" t="str">
        <f t="shared" si="24"/>
        <v>375</v>
      </c>
      <c r="D153" t="str">
        <f>"600353"</f>
        <v>600353</v>
      </c>
      <c r="E153" t="s">
        <v>19</v>
      </c>
      <c r="F153" t="s">
        <v>129</v>
      </c>
      <c r="G153">
        <v>300</v>
      </c>
      <c r="H153" t="str">
        <f>""</f>
        <v/>
      </c>
      <c r="I153">
        <v>35</v>
      </c>
      <c r="J153">
        <v>0</v>
      </c>
      <c r="K153" t="str">
        <f t="shared" si="20"/>
        <v>31000</v>
      </c>
      <c r="L153" t="str">
        <f t="shared" si="25"/>
        <v>0</v>
      </c>
      <c r="M153" t="str">
        <f t="shared" si="25"/>
        <v>0</v>
      </c>
      <c r="N153" t="str">
        <f t="shared" si="25"/>
        <v>0</v>
      </c>
    </row>
    <row r="154" spans="1:14" x14ac:dyDescent="0.3">
      <c r="A154" t="s">
        <v>17</v>
      </c>
      <c r="B154" t="s">
        <v>18</v>
      </c>
      <c r="C154" t="str">
        <f t="shared" si="24"/>
        <v>375</v>
      </c>
      <c r="D154" t="str">
        <f>"600354"</f>
        <v>600354</v>
      </c>
      <c r="E154" t="s">
        <v>19</v>
      </c>
      <c r="F154" t="s">
        <v>130</v>
      </c>
      <c r="G154">
        <v>300</v>
      </c>
      <c r="H154" t="str">
        <f>""</f>
        <v/>
      </c>
      <c r="I154">
        <v>35.1</v>
      </c>
      <c r="J154">
        <v>0</v>
      </c>
      <c r="K154" t="str">
        <f t="shared" si="20"/>
        <v>31000</v>
      </c>
      <c r="L154" t="str">
        <f t="shared" si="25"/>
        <v>0</v>
      </c>
      <c r="M154" t="str">
        <f t="shared" si="25"/>
        <v>0</v>
      </c>
      <c r="N154" t="str">
        <f t="shared" si="25"/>
        <v>0</v>
      </c>
    </row>
    <row r="155" spans="1:14" x14ac:dyDescent="0.3">
      <c r="A155" t="s">
        <v>17</v>
      </c>
      <c r="B155" t="s">
        <v>18</v>
      </c>
      <c r="C155" t="str">
        <f t="shared" si="24"/>
        <v>375</v>
      </c>
      <c r="D155" t="str">
        <f>"600355"</f>
        <v>600355</v>
      </c>
      <c r="E155" t="s">
        <v>19</v>
      </c>
      <c r="F155" t="s">
        <v>131</v>
      </c>
      <c r="G155">
        <v>300</v>
      </c>
      <c r="H155" t="str">
        <f>""</f>
        <v/>
      </c>
      <c r="I155">
        <v>25</v>
      </c>
      <c r="J155">
        <v>0</v>
      </c>
      <c r="K155" t="str">
        <f t="shared" si="20"/>
        <v>31000</v>
      </c>
      <c r="L155" t="str">
        <f t="shared" si="25"/>
        <v>0</v>
      </c>
      <c r="M155" t="str">
        <f t="shared" si="25"/>
        <v>0</v>
      </c>
      <c r="N155" t="str">
        <f t="shared" si="25"/>
        <v>0</v>
      </c>
    </row>
    <row r="156" spans="1:14" x14ac:dyDescent="0.3">
      <c r="A156" t="s">
        <v>17</v>
      </c>
      <c r="B156" t="s">
        <v>18</v>
      </c>
      <c r="C156" t="str">
        <f t="shared" si="24"/>
        <v>375</v>
      </c>
      <c r="D156" t="str">
        <f>"600356"</f>
        <v>600356</v>
      </c>
      <c r="E156" t="s">
        <v>19</v>
      </c>
      <c r="F156" t="s">
        <v>132</v>
      </c>
      <c r="G156">
        <v>300</v>
      </c>
      <c r="H156" t="str">
        <f>""</f>
        <v/>
      </c>
      <c r="I156">
        <v>25</v>
      </c>
      <c r="J156">
        <v>0</v>
      </c>
      <c r="K156" t="str">
        <f t="shared" si="20"/>
        <v>31000</v>
      </c>
      <c r="L156" t="str">
        <f t="shared" si="25"/>
        <v>0</v>
      </c>
      <c r="M156" t="str">
        <f t="shared" si="25"/>
        <v>0</v>
      </c>
      <c r="N156" t="str">
        <f t="shared" si="25"/>
        <v>0</v>
      </c>
    </row>
    <row r="157" spans="1:14" x14ac:dyDescent="0.3">
      <c r="A157" t="s">
        <v>17</v>
      </c>
      <c r="B157" t="s">
        <v>18</v>
      </c>
      <c r="C157" t="str">
        <f t="shared" si="24"/>
        <v>375</v>
      </c>
      <c r="D157" t="str">
        <f>"600357"</f>
        <v>600357</v>
      </c>
      <c r="E157" t="s">
        <v>19</v>
      </c>
      <c r="F157" t="s">
        <v>133</v>
      </c>
      <c r="G157">
        <v>300</v>
      </c>
      <c r="H157" t="str">
        <f>""</f>
        <v/>
      </c>
      <c r="I157">
        <v>107.55</v>
      </c>
      <c r="J157">
        <v>0</v>
      </c>
      <c r="K157" t="str">
        <f t="shared" si="20"/>
        <v>31000</v>
      </c>
      <c r="L157" t="str">
        <f t="shared" si="25"/>
        <v>0</v>
      </c>
      <c r="M157" t="str">
        <f t="shared" si="25"/>
        <v>0</v>
      </c>
      <c r="N157" t="str">
        <f t="shared" si="25"/>
        <v>0</v>
      </c>
    </row>
    <row r="158" spans="1:14" x14ac:dyDescent="0.3">
      <c r="A158" t="s">
        <v>17</v>
      </c>
      <c r="B158" t="s">
        <v>18</v>
      </c>
      <c r="C158" t="str">
        <f t="shared" si="24"/>
        <v>375</v>
      </c>
      <c r="D158" t="str">
        <f>"600358"</f>
        <v>600358</v>
      </c>
      <c r="E158" t="s">
        <v>19</v>
      </c>
      <c r="F158" t="s">
        <v>134</v>
      </c>
      <c r="G158">
        <v>300</v>
      </c>
      <c r="H158" t="str">
        <f>""</f>
        <v/>
      </c>
      <c r="I158">
        <v>27.4</v>
      </c>
      <c r="J158">
        <v>0</v>
      </c>
      <c r="K158" t="str">
        <f t="shared" si="20"/>
        <v>31000</v>
      </c>
      <c r="L158" t="str">
        <f t="shared" si="25"/>
        <v>0</v>
      </c>
      <c r="M158" t="str">
        <f t="shared" si="25"/>
        <v>0</v>
      </c>
      <c r="N158" t="str">
        <f t="shared" si="25"/>
        <v>0</v>
      </c>
    </row>
    <row r="159" spans="1:14" x14ac:dyDescent="0.3">
      <c r="A159" t="s">
        <v>17</v>
      </c>
      <c r="B159" t="s">
        <v>18</v>
      </c>
      <c r="C159" t="str">
        <f t="shared" si="24"/>
        <v>375</v>
      </c>
      <c r="D159" t="str">
        <f>"600359"</f>
        <v>600359</v>
      </c>
      <c r="E159" t="s">
        <v>19</v>
      </c>
      <c r="F159" t="s">
        <v>135</v>
      </c>
      <c r="G159">
        <v>300</v>
      </c>
      <c r="H159" t="str">
        <f>"83540"</f>
        <v>83540</v>
      </c>
      <c r="I159">
        <v>30</v>
      </c>
      <c r="J159">
        <v>0</v>
      </c>
      <c r="K159" t="str">
        <f t="shared" si="20"/>
        <v>31000</v>
      </c>
      <c r="L159" t="str">
        <f t="shared" si="25"/>
        <v>0</v>
      </c>
      <c r="M159" t="str">
        <f t="shared" si="25"/>
        <v>0</v>
      </c>
      <c r="N159" t="str">
        <f t="shared" si="25"/>
        <v>0</v>
      </c>
    </row>
    <row r="160" spans="1:14" x14ac:dyDescent="0.3">
      <c r="A160" t="s">
        <v>17</v>
      </c>
      <c r="B160" t="s">
        <v>18</v>
      </c>
      <c r="C160" t="str">
        <f t="shared" si="24"/>
        <v>375</v>
      </c>
      <c r="D160" t="str">
        <f>"600360"</f>
        <v>600360</v>
      </c>
      <c r="E160" t="s">
        <v>19</v>
      </c>
      <c r="F160" t="s">
        <v>136</v>
      </c>
      <c r="G160">
        <v>300</v>
      </c>
      <c r="H160" t="str">
        <f>""</f>
        <v/>
      </c>
      <c r="I160">
        <v>76.8</v>
      </c>
      <c r="J160">
        <v>0</v>
      </c>
      <c r="K160" t="str">
        <f t="shared" si="20"/>
        <v>31000</v>
      </c>
      <c r="L160" t="str">
        <f t="shared" si="25"/>
        <v>0</v>
      </c>
      <c r="M160" t="str">
        <f t="shared" si="25"/>
        <v>0</v>
      </c>
      <c r="N160" t="str">
        <f t="shared" si="25"/>
        <v>0</v>
      </c>
    </row>
    <row r="161" spans="1:14" x14ac:dyDescent="0.3">
      <c r="A161" t="s">
        <v>17</v>
      </c>
      <c r="B161" t="s">
        <v>18</v>
      </c>
      <c r="C161" t="str">
        <f t="shared" si="24"/>
        <v>375</v>
      </c>
      <c r="D161" t="str">
        <f>"600366"</f>
        <v>600366</v>
      </c>
      <c r="E161" t="s">
        <v>19</v>
      </c>
      <c r="F161" t="s">
        <v>137</v>
      </c>
      <c r="G161">
        <v>300</v>
      </c>
      <c r="H161" t="str">
        <f>"80061"</f>
        <v>80061</v>
      </c>
      <c r="I161">
        <v>21.14</v>
      </c>
      <c r="J161">
        <v>0</v>
      </c>
      <c r="K161" t="str">
        <f t="shared" si="20"/>
        <v>31000</v>
      </c>
      <c r="L161" t="str">
        <f t="shared" si="25"/>
        <v>0</v>
      </c>
      <c r="M161" t="str">
        <f t="shared" si="25"/>
        <v>0</v>
      </c>
      <c r="N161" t="str">
        <f t="shared" si="25"/>
        <v>0</v>
      </c>
    </row>
    <row r="162" spans="1:14" x14ac:dyDescent="0.3">
      <c r="A162" t="s">
        <v>17</v>
      </c>
      <c r="B162" t="s">
        <v>18</v>
      </c>
      <c r="C162" t="str">
        <f t="shared" si="24"/>
        <v>375</v>
      </c>
      <c r="D162" t="str">
        <f>"600375"</f>
        <v>600375</v>
      </c>
      <c r="E162" t="s">
        <v>19</v>
      </c>
      <c r="F162" t="s">
        <v>138</v>
      </c>
      <c r="G162">
        <v>300</v>
      </c>
      <c r="H162" t="str">
        <f>"84702"</f>
        <v>84702</v>
      </c>
      <c r="I162">
        <v>110.1</v>
      </c>
      <c r="J162">
        <v>0</v>
      </c>
      <c r="K162" t="str">
        <f t="shared" si="20"/>
        <v>31000</v>
      </c>
      <c r="L162" t="str">
        <f t="shared" si="25"/>
        <v>0</v>
      </c>
      <c r="M162" t="str">
        <f t="shared" si="25"/>
        <v>0</v>
      </c>
      <c r="N162" t="str">
        <f t="shared" si="25"/>
        <v>0</v>
      </c>
    </row>
    <row r="163" spans="1:14" x14ac:dyDescent="0.3">
      <c r="A163" t="s">
        <v>17</v>
      </c>
      <c r="B163" t="s">
        <v>18</v>
      </c>
      <c r="C163" t="str">
        <f t="shared" si="24"/>
        <v>375</v>
      </c>
      <c r="D163" t="str">
        <f>"600395"</f>
        <v>600395</v>
      </c>
      <c r="E163" t="s">
        <v>19</v>
      </c>
      <c r="F163" t="s">
        <v>139</v>
      </c>
      <c r="G163">
        <v>300</v>
      </c>
      <c r="H163" t="str">
        <f>"82977"</f>
        <v>82977</v>
      </c>
      <c r="I163">
        <v>25</v>
      </c>
      <c r="J163">
        <v>0</v>
      </c>
      <c r="K163" t="str">
        <f t="shared" si="20"/>
        <v>31000</v>
      </c>
      <c r="L163" t="str">
        <f t="shared" si="25"/>
        <v>0</v>
      </c>
      <c r="M163" t="str">
        <f t="shared" si="25"/>
        <v>0</v>
      </c>
      <c r="N163" t="str">
        <f t="shared" si="25"/>
        <v>0</v>
      </c>
    </row>
    <row r="164" spans="1:14" x14ac:dyDescent="0.3">
      <c r="A164" t="s">
        <v>17</v>
      </c>
      <c r="B164" t="s">
        <v>18</v>
      </c>
      <c r="C164" t="str">
        <f t="shared" si="24"/>
        <v>375</v>
      </c>
      <c r="D164" t="str">
        <f>"600396"</f>
        <v>600396</v>
      </c>
      <c r="E164" t="s">
        <v>19</v>
      </c>
      <c r="F164" t="s">
        <v>140</v>
      </c>
      <c r="G164">
        <v>300</v>
      </c>
      <c r="H164" t="str">
        <f>"80076"</f>
        <v>80076</v>
      </c>
      <c r="I164">
        <v>31</v>
      </c>
      <c r="J164">
        <v>0</v>
      </c>
      <c r="K164" t="str">
        <f t="shared" si="20"/>
        <v>31000</v>
      </c>
      <c r="L164" t="str">
        <f t="shared" si="25"/>
        <v>0</v>
      </c>
      <c r="M164" t="str">
        <f t="shared" si="25"/>
        <v>0</v>
      </c>
      <c r="N164" t="str">
        <f t="shared" si="25"/>
        <v>0</v>
      </c>
    </row>
    <row r="165" spans="1:14" x14ac:dyDescent="0.3">
      <c r="A165" t="s">
        <v>17</v>
      </c>
      <c r="B165" t="s">
        <v>18</v>
      </c>
      <c r="C165" t="str">
        <f t="shared" si="24"/>
        <v>375</v>
      </c>
      <c r="D165" t="str">
        <f>"600455"</f>
        <v>600455</v>
      </c>
      <c r="E165" t="s">
        <v>19</v>
      </c>
      <c r="F165" t="s">
        <v>141</v>
      </c>
      <c r="G165">
        <v>300</v>
      </c>
      <c r="H165" t="str">
        <f>""</f>
        <v/>
      </c>
      <c r="I165">
        <v>585</v>
      </c>
      <c r="J165">
        <v>0</v>
      </c>
      <c r="K165" t="str">
        <f t="shared" si="20"/>
        <v>31000</v>
      </c>
      <c r="L165" t="str">
        <f t="shared" si="25"/>
        <v>0</v>
      </c>
      <c r="M165" t="str">
        <f t="shared" si="25"/>
        <v>0</v>
      </c>
      <c r="N165" t="str">
        <f t="shared" si="25"/>
        <v>0</v>
      </c>
    </row>
    <row r="166" spans="1:14" x14ac:dyDescent="0.3">
      <c r="A166" t="s">
        <v>17</v>
      </c>
      <c r="B166" t="s">
        <v>18</v>
      </c>
      <c r="C166" t="str">
        <f t="shared" si="24"/>
        <v>375</v>
      </c>
      <c r="D166" t="str">
        <f>"600509"</f>
        <v>600509</v>
      </c>
      <c r="E166" t="s">
        <v>19</v>
      </c>
      <c r="F166" t="s">
        <v>142</v>
      </c>
      <c r="G166">
        <v>300</v>
      </c>
      <c r="H166" t="str">
        <f>""</f>
        <v/>
      </c>
      <c r="I166">
        <v>147.15</v>
      </c>
      <c r="J166">
        <v>0</v>
      </c>
      <c r="K166" t="str">
        <f t="shared" si="20"/>
        <v>31000</v>
      </c>
      <c r="L166" t="str">
        <f t="shared" si="25"/>
        <v>0</v>
      </c>
      <c r="M166" t="str">
        <f t="shared" si="25"/>
        <v>0</v>
      </c>
      <c r="N166" t="str">
        <f t="shared" si="25"/>
        <v>0</v>
      </c>
    </row>
    <row r="167" spans="1:14" x14ac:dyDescent="0.3">
      <c r="A167" t="s">
        <v>17</v>
      </c>
      <c r="B167" t="s">
        <v>18</v>
      </c>
      <c r="C167" t="str">
        <f t="shared" si="24"/>
        <v>375</v>
      </c>
      <c r="D167" t="str">
        <f>"600510"</f>
        <v>600510</v>
      </c>
      <c r="E167" t="s">
        <v>19</v>
      </c>
      <c r="F167" t="s">
        <v>143</v>
      </c>
      <c r="G167">
        <v>300</v>
      </c>
      <c r="H167" t="str">
        <f>""</f>
        <v/>
      </c>
      <c r="I167">
        <v>375</v>
      </c>
      <c r="J167">
        <v>0</v>
      </c>
      <c r="K167" t="str">
        <f t="shared" si="20"/>
        <v>31000</v>
      </c>
      <c r="L167" t="str">
        <f t="shared" si="25"/>
        <v>0</v>
      </c>
      <c r="M167" t="str">
        <f t="shared" si="25"/>
        <v>0</v>
      </c>
      <c r="N167" t="str">
        <f t="shared" si="25"/>
        <v>0</v>
      </c>
    </row>
    <row r="168" spans="1:14" x14ac:dyDescent="0.3">
      <c r="A168" t="s">
        <v>17</v>
      </c>
      <c r="B168" t="s">
        <v>18</v>
      </c>
      <c r="C168" t="str">
        <f t="shared" si="24"/>
        <v>375</v>
      </c>
      <c r="D168" t="str">
        <f>"600511"</f>
        <v>600511</v>
      </c>
      <c r="E168" t="s">
        <v>19</v>
      </c>
      <c r="F168" t="s">
        <v>144</v>
      </c>
      <c r="G168">
        <v>300</v>
      </c>
      <c r="H168" t="str">
        <f>""</f>
        <v/>
      </c>
      <c r="I168">
        <v>467.55</v>
      </c>
      <c r="J168">
        <v>0</v>
      </c>
      <c r="K168" t="str">
        <f t="shared" si="20"/>
        <v>31000</v>
      </c>
      <c r="L168" t="str">
        <f t="shared" si="25"/>
        <v>0</v>
      </c>
      <c r="M168" t="str">
        <f t="shared" si="25"/>
        <v>0</v>
      </c>
      <c r="N168" t="str">
        <f t="shared" si="25"/>
        <v>0</v>
      </c>
    </row>
    <row r="169" spans="1:14" x14ac:dyDescent="0.3">
      <c r="A169" t="s">
        <v>17</v>
      </c>
      <c r="B169" t="s">
        <v>18</v>
      </c>
      <c r="C169" t="str">
        <f t="shared" si="24"/>
        <v>375</v>
      </c>
      <c r="D169" t="str">
        <f>"600652"</f>
        <v>600652</v>
      </c>
      <c r="E169" t="s">
        <v>19</v>
      </c>
      <c r="F169" t="s">
        <v>145</v>
      </c>
      <c r="G169">
        <v>300</v>
      </c>
      <c r="H169" t="str">
        <f>"80299"</f>
        <v>80299</v>
      </c>
      <c r="I169">
        <v>5</v>
      </c>
      <c r="J169">
        <v>0</v>
      </c>
      <c r="K169" t="str">
        <f t="shared" si="20"/>
        <v>31000</v>
      </c>
      <c r="L169" t="str">
        <f t="shared" si="25"/>
        <v>0</v>
      </c>
      <c r="M169" t="str">
        <f t="shared" si="25"/>
        <v>0</v>
      </c>
      <c r="N169" t="str">
        <f t="shared" si="25"/>
        <v>0</v>
      </c>
    </row>
    <row r="170" spans="1:14" x14ac:dyDescent="0.3">
      <c r="A170" t="s">
        <v>17</v>
      </c>
      <c r="B170" t="s">
        <v>18</v>
      </c>
      <c r="C170" t="str">
        <f t="shared" si="24"/>
        <v>375</v>
      </c>
      <c r="D170" t="str">
        <f>"600987"</f>
        <v>600987</v>
      </c>
      <c r="E170" t="s">
        <v>19</v>
      </c>
      <c r="F170" t="s">
        <v>146</v>
      </c>
      <c r="G170">
        <v>300</v>
      </c>
      <c r="H170" t="str">
        <f>""</f>
        <v/>
      </c>
      <c r="I170">
        <v>180</v>
      </c>
      <c r="J170">
        <v>0</v>
      </c>
      <c r="K170" t="str">
        <f t="shared" si="20"/>
        <v>31000</v>
      </c>
      <c r="L170" t="str">
        <f t="shared" si="25"/>
        <v>0</v>
      </c>
      <c r="M170" t="str">
        <f t="shared" si="25"/>
        <v>0</v>
      </c>
      <c r="N170" t="str">
        <f t="shared" si="25"/>
        <v>0</v>
      </c>
    </row>
    <row r="171" spans="1:14" x14ac:dyDescent="0.3">
      <c r="A171" t="s">
        <v>17</v>
      </c>
      <c r="B171" t="s">
        <v>18</v>
      </c>
      <c r="C171" t="str">
        <f t="shared" si="24"/>
        <v>375</v>
      </c>
      <c r="D171" t="str">
        <f>"601000"</f>
        <v>601000</v>
      </c>
      <c r="E171" t="s">
        <v>19</v>
      </c>
      <c r="F171" t="s">
        <v>147</v>
      </c>
      <c r="G171">
        <v>300</v>
      </c>
      <c r="H171" t="str">
        <f>""</f>
        <v/>
      </c>
      <c r="I171">
        <v>11.19</v>
      </c>
      <c r="J171">
        <v>0</v>
      </c>
      <c r="K171" t="str">
        <f t="shared" ref="K171:K234" si="26">"31000"</f>
        <v>31000</v>
      </c>
      <c r="L171" t="str">
        <f t="shared" si="25"/>
        <v>0</v>
      </c>
      <c r="M171" t="str">
        <f t="shared" si="25"/>
        <v>0</v>
      </c>
      <c r="N171" t="str">
        <f t="shared" si="25"/>
        <v>0</v>
      </c>
    </row>
    <row r="172" spans="1:14" x14ac:dyDescent="0.3">
      <c r="A172" t="s">
        <v>17</v>
      </c>
      <c r="B172" t="s">
        <v>18</v>
      </c>
      <c r="C172" t="str">
        <f t="shared" si="24"/>
        <v>375</v>
      </c>
      <c r="D172" t="str">
        <f>"601001"</f>
        <v>601001</v>
      </c>
      <c r="E172" t="s">
        <v>19</v>
      </c>
      <c r="F172" t="s">
        <v>148</v>
      </c>
      <c r="G172">
        <v>300</v>
      </c>
      <c r="H172" t="str">
        <f>""</f>
        <v/>
      </c>
      <c r="I172">
        <v>12.99</v>
      </c>
      <c r="J172">
        <v>0</v>
      </c>
      <c r="K172" t="str">
        <f t="shared" si="26"/>
        <v>31000</v>
      </c>
      <c r="L172" t="str">
        <f t="shared" si="25"/>
        <v>0</v>
      </c>
      <c r="M172" t="str">
        <f t="shared" si="25"/>
        <v>0</v>
      </c>
      <c r="N172" t="str">
        <f t="shared" si="25"/>
        <v>0</v>
      </c>
    </row>
    <row r="173" spans="1:14" x14ac:dyDescent="0.3">
      <c r="A173" t="s">
        <v>17</v>
      </c>
      <c r="B173" t="s">
        <v>18</v>
      </c>
      <c r="C173" t="str">
        <f t="shared" ref="C173:C204" si="27">"375"</f>
        <v>375</v>
      </c>
      <c r="D173" t="str">
        <f>"601002"</f>
        <v>601002</v>
      </c>
      <c r="E173" t="s">
        <v>19</v>
      </c>
      <c r="F173" t="s">
        <v>149</v>
      </c>
      <c r="G173">
        <v>300</v>
      </c>
      <c r="H173" t="str">
        <f>""</f>
        <v/>
      </c>
      <c r="I173">
        <v>75</v>
      </c>
      <c r="J173">
        <v>0</v>
      </c>
      <c r="K173" t="str">
        <f t="shared" si="26"/>
        <v>31000</v>
      </c>
      <c r="L173" t="str">
        <f t="shared" si="25"/>
        <v>0</v>
      </c>
      <c r="M173" t="str">
        <f t="shared" si="25"/>
        <v>0</v>
      </c>
      <c r="N173" t="str">
        <f t="shared" si="25"/>
        <v>0</v>
      </c>
    </row>
    <row r="174" spans="1:14" x14ac:dyDescent="0.3">
      <c r="A174" t="s">
        <v>17</v>
      </c>
      <c r="B174" t="s">
        <v>18</v>
      </c>
      <c r="C174" t="str">
        <f t="shared" si="27"/>
        <v>375</v>
      </c>
      <c r="D174" t="str">
        <f>"601003"</f>
        <v>601003</v>
      </c>
      <c r="E174" t="s">
        <v>19</v>
      </c>
      <c r="F174" t="s">
        <v>150</v>
      </c>
      <c r="G174">
        <v>300</v>
      </c>
      <c r="H174" t="str">
        <f>"81003"</f>
        <v>81003</v>
      </c>
      <c r="I174">
        <v>15</v>
      </c>
      <c r="J174">
        <v>0</v>
      </c>
      <c r="K174" t="str">
        <f t="shared" si="26"/>
        <v>31000</v>
      </c>
      <c r="L174" t="str">
        <f t="shared" si="25"/>
        <v>0</v>
      </c>
      <c r="M174" t="str">
        <f t="shared" si="25"/>
        <v>0</v>
      </c>
      <c r="N174" t="str">
        <f t="shared" si="25"/>
        <v>0</v>
      </c>
    </row>
    <row r="175" spans="1:14" x14ac:dyDescent="0.3">
      <c r="A175" t="s">
        <v>17</v>
      </c>
      <c r="B175" t="s">
        <v>18</v>
      </c>
      <c r="C175" t="str">
        <f t="shared" si="27"/>
        <v>375</v>
      </c>
      <c r="D175" t="str">
        <f>"601004"</f>
        <v>601004</v>
      </c>
      <c r="E175" t="s">
        <v>19</v>
      </c>
      <c r="F175" t="s">
        <v>151</v>
      </c>
      <c r="G175">
        <v>300</v>
      </c>
      <c r="H175" t="str">
        <f>"83036"</f>
        <v>83036</v>
      </c>
      <c r="I175">
        <v>41.89</v>
      </c>
      <c r="J175">
        <v>0</v>
      </c>
      <c r="K175" t="str">
        <f t="shared" si="26"/>
        <v>31000</v>
      </c>
      <c r="L175" t="str">
        <f t="shared" si="25"/>
        <v>0</v>
      </c>
      <c r="M175" t="str">
        <f t="shared" si="25"/>
        <v>0</v>
      </c>
      <c r="N175" t="str">
        <f t="shared" si="25"/>
        <v>0</v>
      </c>
    </row>
    <row r="176" spans="1:14" x14ac:dyDescent="0.3">
      <c r="A176" t="s">
        <v>17</v>
      </c>
      <c r="B176" t="s">
        <v>18</v>
      </c>
      <c r="C176" t="str">
        <f t="shared" si="27"/>
        <v>375</v>
      </c>
      <c r="D176" t="str">
        <f>"601005"</f>
        <v>601005</v>
      </c>
      <c r="E176" t="s">
        <v>19</v>
      </c>
      <c r="F176" t="s">
        <v>152</v>
      </c>
      <c r="G176">
        <v>300</v>
      </c>
      <c r="H176" t="str">
        <f>""</f>
        <v/>
      </c>
      <c r="I176">
        <v>83.25</v>
      </c>
      <c r="J176">
        <v>0</v>
      </c>
      <c r="K176" t="str">
        <f t="shared" si="26"/>
        <v>31000</v>
      </c>
      <c r="L176" t="str">
        <f t="shared" si="25"/>
        <v>0</v>
      </c>
      <c r="M176" t="str">
        <f t="shared" si="25"/>
        <v>0</v>
      </c>
      <c r="N176" t="str">
        <f t="shared" si="25"/>
        <v>0</v>
      </c>
    </row>
    <row r="177" spans="1:14" x14ac:dyDescent="0.3">
      <c r="A177" t="s">
        <v>17</v>
      </c>
      <c r="B177" t="s">
        <v>18</v>
      </c>
      <c r="C177" t="str">
        <f t="shared" si="27"/>
        <v>375</v>
      </c>
      <c r="D177" t="str">
        <f>"601100"</f>
        <v>601100</v>
      </c>
      <c r="E177" t="s">
        <v>19</v>
      </c>
      <c r="F177" t="s">
        <v>153</v>
      </c>
      <c r="G177">
        <v>300</v>
      </c>
      <c r="I177">
        <v>18</v>
      </c>
      <c r="J177">
        <v>0</v>
      </c>
      <c r="K177" t="str">
        <f t="shared" si="26"/>
        <v>31000</v>
      </c>
    </row>
    <row r="178" spans="1:14" x14ac:dyDescent="0.3">
      <c r="A178" t="s">
        <v>17</v>
      </c>
      <c r="B178" t="s">
        <v>18</v>
      </c>
      <c r="C178" t="str">
        <f t="shared" si="27"/>
        <v>375</v>
      </c>
      <c r="D178" t="str">
        <f>"601101"</f>
        <v>601101</v>
      </c>
      <c r="E178" t="s">
        <v>19</v>
      </c>
      <c r="F178" t="s">
        <v>154</v>
      </c>
      <c r="G178">
        <v>300</v>
      </c>
      <c r="I178">
        <v>66</v>
      </c>
      <c r="J178">
        <v>0</v>
      </c>
      <c r="K178" t="str">
        <f t="shared" si="26"/>
        <v>31000</v>
      </c>
    </row>
    <row r="179" spans="1:14" x14ac:dyDescent="0.3">
      <c r="A179" t="s">
        <v>17</v>
      </c>
      <c r="B179" t="s">
        <v>18</v>
      </c>
      <c r="C179" t="str">
        <f t="shared" si="27"/>
        <v>375</v>
      </c>
      <c r="D179" t="str">
        <f>"601256"</f>
        <v>601256</v>
      </c>
      <c r="E179" t="s">
        <v>19</v>
      </c>
      <c r="F179" t="s">
        <v>155</v>
      </c>
      <c r="G179">
        <v>300</v>
      </c>
      <c r="H179" t="str">
        <f>""</f>
        <v/>
      </c>
      <c r="I179">
        <v>475</v>
      </c>
      <c r="J179">
        <v>0</v>
      </c>
      <c r="K179" t="str">
        <f t="shared" si="26"/>
        <v>31000</v>
      </c>
      <c r="L179" t="str">
        <f t="shared" ref="L179:N198" si="28">"0"</f>
        <v>0</v>
      </c>
      <c r="M179" t="str">
        <f t="shared" si="28"/>
        <v>0</v>
      </c>
      <c r="N179" t="str">
        <f t="shared" si="28"/>
        <v>0</v>
      </c>
    </row>
    <row r="180" spans="1:14" x14ac:dyDescent="0.3">
      <c r="A180" t="s">
        <v>17</v>
      </c>
      <c r="B180" t="s">
        <v>18</v>
      </c>
      <c r="C180" t="str">
        <f t="shared" si="27"/>
        <v>375</v>
      </c>
      <c r="D180" t="str">
        <f>"602143"</f>
        <v>602143</v>
      </c>
      <c r="E180" t="s">
        <v>19</v>
      </c>
      <c r="F180" t="s">
        <v>156</v>
      </c>
      <c r="G180">
        <v>300</v>
      </c>
      <c r="H180" t="str">
        <f>"84132"</f>
        <v>84132</v>
      </c>
      <c r="I180">
        <v>45</v>
      </c>
      <c r="J180">
        <v>0</v>
      </c>
      <c r="K180" t="str">
        <f t="shared" si="26"/>
        <v>31000</v>
      </c>
      <c r="L180" t="str">
        <f t="shared" si="28"/>
        <v>0</v>
      </c>
      <c r="M180" t="str">
        <f t="shared" si="28"/>
        <v>0</v>
      </c>
      <c r="N180" t="str">
        <f t="shared" si="28"/>
        <v>0</v>
      </c>
    </row>
    <row r="181" spans="1:14" x14ac:dyDescent="0.3">
      <c r="A181" t="s">
        <v>17</v>
      </c>
      <c r="B181" t="s">
        <v>18</v>
      </c>
      <c r="C181" t="str">
        <f t="shared" si="27"/>
        <v>375</v>
      </c>
      <c r="D181" t="str">
        <f>"602144"</f>
        <v>602144</v>
      </c>
      <c r="E181" t="s">
        <v>19</v>
      </c>
      <c r="F181" t="s">
        <v>157</v>
      </c>
      <c r="G181">
        <v>300</v>
      </c>
      <c r="H181" t="str">
        <f>"80048"</f>
        <v>80048</v>
      </c>
      <c r="I181">
        <v>61.74</v>
      </c>
      <c r="J181">
        <v>0</v>
      </c>
      <c r="K181" t="str">
        <f t="shared" si="26"/>
        <v>31000</v>
      </c>
      <c r="L181" t="str">
        <f t="shared" si="28"/>
        <v>0</v>
      </c>
      <c r="M181" t="str">
        <f t="shared" si="28"/>
        <v>0</v>
      </c>
      <c r="N181" t="str">
        <f t="shared" si="28"/>
        <v>0</v>
      </c>
    </row>
    <row r="182" spans="1:14" x14ac:dyDescent="0.3">
      <c r="A182" t="s">
        <v>17</v>
      </c>
      <c r="B182" t="s">
        <v>18</v>
      </c>
      <c r="C182" t="str">
        <f t="shared" si="27"/>
        <v>375</v>
      </c>
      <c r="D182" t="str">
        <f>"602145"</f>
        <v>602145</v>
      </c>
      <c r="E182" t="s">
        <v>19</v>
      </c>
      <c r="F182" t="s">
        <v>158</v>
      </c>
      <c r="G182">
        <v>300</v>
      </c>
      <c r="H182" t="str">
        <f>""</f>
        <v/>
      </c>
      <c r="I182">
        <v>71.680000000000007</v>
      </c>
      <c r="J182">
        <v>0</v>
      </c>
      <c r="K182" t="str">
        <f t="shared" si="26"/>
        <v>31000</v>
      </c>
      <c r="L182" t="str">
        <f t="shared" si="28"/>
        <v>0</v>
      </c>
      <c r="M182" t="str">
        <f t="shared" si="28"/>
        <v>0</v>
      </c>
      <c r="N182" t="str">
        <f t="shared" si="28"/>
        <v>0</v>
      </c>
    </row>
    <row r="183" spans="1:14" x14ac:dyDescent="0.3">
      <c r="A183" t="s">
        <v>17</v>
      </c>
      <c r="B183" t="s">
        <v>18</v>
      </c>
      <c r="C183" t="str">
        <f t="shared" si="27"/>
        <v>375</v>
      </c>
      <c r="D183" t="str">
        <f>"603125"</f>
        <v>603125</v>
      </c>
      <c r="E183" t="s">
        <v>19</v>
      </c>
      <c r="F183" t="s">
        <v>159</v>
      </c>
      <c r="G183">
        <v>300</v>
      </c>
      <c r="H183" t="str">
        <f>""</f>
        <v/>
      </c>
      <c r="I183">
        <v>45.3</v>
      </c>
      <c r="J183">
        <v>0</v>
      </c>
      <c r="K183" t="str">
        <f t="shared" si="26"/>
        <v>31000</v>
      </c>
      <c r="L183" t="str">
        <f t="shared" si="28"/>
        <v>0</v>
      </c>
      <c r="M183" t="str">
        <f t="shared" si="28"/>
        <v>0</v>
      </c>
      <c r="N183" t="str">
        <f t="shared" si="28"/>
        <v>0</v>
      </c>
    </row>
    <row r="184" spans="1:14" x14ac:dyDescent="0.3">
      <c r="A184" t="s">
        <v>17</v>
      </c>
      <c r="B184" t="s">
        <v>18</v>
      </c>
      <c r="C184" t="str">
        <f t="shared" si="27"/>
        <v>375</v>
      </c>
      <c r="D184" t="str">
        <f>"603145"</f>
        <v>603145</v>
      </c>
      <c r="E184" t="s">
        <v>19</v>
      </c>
      <c r="F184" t="s">
        <v>160</v>
      </c>
      <c r="G184">
        <v>300</v>
      </c>
      <c r="H184" t="str">
        <f>""</f>
        <v/>
      </c>
      <c r="I184">
        <v>26.7</v>
      </c>
      <c r="J184">
        <v>0</v>
      </c>
      <c r="K184" t="str">
        <f t="shared" si="26"/>
        <v>31000</v>
      </c>
      <c r="L184" t="str">
        <f t="shared" si="28"/>
        <v>0</v>
      </c>
      <c r="M184" t="str">
        <f t="shared" si="28"/>
        <v>0</v>
      </c>
      <c r="N184" t="str">
        <f t="shared" si="28"/>
        <v>0</v>
      </c>
    </row>
    <row r="185" spans="1:14" x14ac:dyDescent="0.3">
      <c r="A185" t="s">
        <v>17</v>
      </c>
      <c r="B185" t="s">
        <v>18</v>
      </c>
      <c r="C185" t="str">
        <f t="shared" si="27"/>
        <v>375</v>
      </c>
      <c r="D185" t="str">
        <f>"603149"</f>
        <v>603149</v>
      </c>
      <c r="E185" t="s">
        <v>19</v>
      </c>
      <c r="F185" t="s">
        <v>161</v>
      </c>
      <c r="G185">
        <v>300</v>
      </c>
      <c r="H185" t="str">
        <f>""</f>
        <v/>
      </c>
      <c r="I185">
        <v>180</v>
      </c>
      <c r="J185">
        <v>0</v>
      </c>
      <c r="K185" t="str">
        <f t="shared" si="26"/>
        <v>31000</v>
      </c>
      <c r="L185" t="str">
        <f t="shared" si="28"/>
        <v>0</v>
      </c>
      <c r="M185" t="str">
        <f t="shared" si="28"/>
        <v>0</v>
      </c>
      <c r="N185" t="str">
        <f t="shared" si="28"/>
        <v>0</v>
      </c>
    </row>
    <row r="186" spans="1:14" x14ac:dyDescent="0.3">
      <c r="A186" t="s">
        <v>17</v>
      </c>
      <c r="B186" t="s">
        <v>18</v>
      </c>
      <c r="C186" t="str">
        <f t="shared" si="27"/>
        <v>375</v>
      </c>
      <c r="D186" t="str">
        <f>"603154"</f>
        <v>603154</v>
      </c>
      <c r="E186" t="s">
        <v>19</v>
      </c>
      <c r="F186" t="s">
        <v>162</v>
      </c>
      <c r="G186">
        <v>300</v>
      </c>
      <c r="H186" t="str">
        <f>""</f>
        <v/>
      </c>
      <c r="I186">
        <v>126.5</v>
      </c>
      <c r="J186">
        <v>0</v>
      </c>
      <c r="K186" t="str">
        <f t="shared" si="26"/>
        <v>31000</v>
      </c>
      <c r="L186" t="str">
        <f t="shared" si="28"/>
        <v>0</v>
      </c>
      <c r="M186" t="str">
        <f t="shared" si="28"/>
        <v>0</v>
      </c>
      <c r="N186" t="str">
        <f t="shared" si="28"/>
        <v>0</v>
      </c>
    </row>
    <row r="187" spans="1:14" x14ac:dyDescent="0.3">
      <c r="A187" t="s">
        <v>17</v>
      </c>
      <c r="B187" t="s">
        <v>18</v>
      </c>
      <c r="C187" t="str">
        <f t="shared" si="27"/>
        <v>375</v>
      </c>
      <c r="D187" t="str">
        <f>"603254"</f>
        <v>603254</v>
      </c>
      <c r="E187" t="s">
        <v>19</v>
      </c>
      <c r="F187" t="s">
        <v>163</v>
      </c>
      <c r="G187">
        <v>300</v>
      </c>
      <c r="H187" t="str">
        <f>""</f>
        <v/>
      </c>
      <c r="I187">
        <v>31.28</v>
      </c>
      <c r="J187">
        <v>0</v>
      </c>
      <c r="K187" t="str">
        <f t="shared" si="26"/>
        <v>31000</v>
      </c>
      <c r="L187" t="str">
        <f t="shared" si="28"/>
        <v>0</v>
      </c>
      <c r="M187" t="str">
        <f t="shared" si="28"/>
        <v>0</v>
      </c>
      <c r="N187" t="str">
        <f t="shared" si="28"/>
        <v>0</v>
      </c>
    </row>
    <row r="188" spans="1:14" x14ac:dyDescent="0.3">
      <c r="A188" t="s">
        <v>17</v>
      </c>
      <c r="B188" t="s">
        <v>18</v>
      </c>
      <c r="C188" t="str">
        <f t="shared" si="27"/>
        <v>375</v>
      </c>
      <c r="D188" t="str">
        <f>"603458"</f>
        <v>603458</v>
      </c>
      <c r="E188" t="s">
        <v>19</v>
      </c>
      <c r="F188" t="s">
        <v>164</v>
      </c>
      <c r="G188">
        <v>300</v>
      </c>
      <c r="H188" t="str">
        <f>""</f>
        <v/>
      </c>
      <c r="I188">
        <v>149.02000000000001</v>
      </c>
      <c r="J188">
        <v>0</v>
      </c>
      <c r="K188" t="str">
        <f t="shared" si="26"/>
        <v>31000</v>
      </c>
      <c r="L188" t="str">
        <f t="shared" si="28"/>
        <v>0</v>
      </c>
      <c r="M188" t="str">
        <f t="shared" si="28"/>
        <v>0</v>
      </c>
      <c r="N188" t="str">
        <f t="shared" si="28"/>
        <v>0</v>
      </c>
    </row>
    <row r="189" spans="1:14" x14ac:dyDescent="0.3">
      <c r="A189" t="s">
        <v>17</v>
      </c>
      <c r="B189" t="s">
        <v>18</v>
      </c>
      <c r="C189" t="str">
        <f t="shared" si="27"/>
        <v>375</v>
      </c>
      <c r="D189" t="str">
        <f>"603459"</f>
        <v>603459</v>
      </c>
      <c r="E189" t="s">
        <v>19</v>
      </c>
      <c r="F189" t="s">
        <v>165</v>
      </c>
      <c r="G189">
        <v>300</v>
      </c>
      <c r="H189" t="str">
        <f>""</f>
        <v/>
      </c>
      <c r="I189">
        <v>161.1</v>
      </c>
      <c r="J189">
        <v>0</v>
      </c>
      <c r="K189" t="str">
        <f t="shared" si="26"/>
        <v>31000</v>
      </c>
      <c r="L189" t="str">
        <f t="shared" si="28"/>
        <v>0</v>
      </c>
      <c r="M189" t="str">
        <f t="shared" si="28"/>
        <v>0</v>
      </c>
      <c r="N189" t="str">
        <f t="shared" si="28"/>
        <v>0</v>
      </c>
    </row>
    <row r="190" spans="1:14" x14ac:dyDescent="0.3">
      <c r="A190" t="s">
        <v>17</v>
      </c>
      <c r="B190" t="s">
        <v>18</v>
      </c>
      <c r="C190" t="str">
        <f t="shared" si="27"/>
        <v>375</v>
      </c>
      <c r="D190" t="str">
        <f>"603461"</f>
        <v>603461</v>
      </c>
      <c r="E190" t="s">
        <v>19</v>
      </c>
      <c r="F190" t="s">
        <v>166</v>
      </c>
      <c r="G190">
        <v>300</v>
      </c>
      <c r="H190" t="str">
        <f>""</f>
        <v/>
      </c>
      <c r="I190">
        <v>100</v>
      </c>
      <c r="J190">
        <v>0</v>
      </c>
      <c r="K190" t="str">
        <f t="shared" si="26"/>
        <v>31000</v>
      </c>
      <c r="L190" t="str">
        <f t="shared" si="28"/>
        <v>0</v>
      </c>
      <c r="M190" t="str">
        <f t="shared" si="28"/>
        <v>0</v>
      </c>
      <c r="N190" t="str">
        <f t="shared" si="28"/>
        <v>0</v>
      </c>
    </row>
    <row r="191" spans="1:14" x14ac:dyDescent="0.3">
      <c r="A191" t="s">
        <v>17</v>
      </c>
      <c r="B191" t="s">
        <v>18</v>
      </c>
      <c r="C191" t="str">
        <f t="shared" si="27"/>
        <v>375</v>
      </c>
      <c r="D191" t="str">
        <f>"603462"</f>
        <v>603462</v>
      </c>
      <c r="E191" t="s">
        <v>19</v>
      </c>
      <c r="F191" t="s">
        <v>167</v>
      </c>
      <c r="G191">
        <v>300</v>
      </c>
      <c r="H191" t="str">
        <f>""</f>
        <v/>
      </c>
      <c r="I191">
        <v>44.3</v>
      </c>
      <c r="J191">
        <v>0</v>
      </c>
      <c r="K191" t="str">
        <f t="shared" si="26"/>
        <v>31000</v>
      </c>
      <c r="L191" t="str">
        <f t="shared" si="28"/>
        <v>0</v>
      </c>
      <c r="M191" t="str">
        <f t="shared" si="28"/>
        <v>0</v>
      </c>
      <c r="N191" t="str">
        <f t="shared" si="28"/>
        <v>0</v>
      </c>
    </row>
    <row r="192" spans="1:14" x14ac:dyDescent="0.3">
      <c r="A192" t="s">
        <v>17</v>
      </c>
      <c r="B192" t="s">
        <v>18</v>
      </c>
      <c r="C192" t="str">
        <f t="shared" si="27"/>
        <v>375</v>
      </c>
      <c r="D192" t="str">
        <f>"603684"</f>
        <v>603684</v>
      </c>
      <c r="E192" t="s">
        <v>19</v>
      </c>
      <c r="F192" t="s">
        <v>168</v>
      </c>
      <c r="G192">
        <v>300</v>
      </c>
      <c r="H192" t="str">
        <f>""</f>
        <v/>
      </c>
      <c r="I192">
        <v>18.45</v>
      </c>
      <c r="J192">
        <v>0</v>
      </c>
      <c r="K192" t="str">
        <f t="shared" si="26"/>
        <v>31000</v>
      </c>
      <c r="L192" t="str">
        <f t="shared" si="28"/>
        <v>0</v>
      </c>
      <c r="M192" t="str">
        <f t="shared" si="28"/>
        <v>0</v>
      </c>
      <c r="N192" t="str">
        <f t="shared" si="28"/>
        <v>0</v>
      </c>
    </row>
    <row r="193" spans="1:14" x14ac:dyDescent="0.3">
      <c r="A193" t="s">
        <v>17</v>
      </c>
      <c r="B193" t="s">
        <v>18</v>
      </c>
      <c r="C193" t="str">
        <f t="shared" si="27"/>
        <v>375</v>
      </c>
      <c r="D193" t="str">
        <f>"603686"</f>
        <v>603686</v>
      </c>
      <c r="E193" t="s">
        <v>19</v>
      </c>
      <c r="F193" t="s">
        <v>169</v>
      </c>
      <c r="G193">
        <v>300</v>
      </c>
      <c r="H193" t="str">
        <f>""</f>
        <v/>
      </c>
      <c r="I193">
        <v>73.59</v>
      </c>
      <c r="J193">
        <v>0</v>
      </c>
      <c r="K193" t="str">
        <f t="shared" si="26"/>
        <v>31000</v>
      </c>
      <c r="L193" t="str">
        <f t="shared" si="28"/>
        <v>0</v>
      </c>
      <c r="M193" t="str">
        <f t="shared" si="28"/>
        <v>0</v>
      </c>
      <c r="N193" t="str">
        <f t="shared" si="28"/>
        <v>0</v>
      </c>
    </row>
    <row r="194" spans="1:14" x14ac:dyDescent="0.3">
      <c r="A194" t="s">
        <v>17</v>
      </c>
      <c r="B194" t="s">
        <v>18</v>
      </c>
      <c r="C194" t="str">
        <f t="shared" si="27"/>
        <v>375</v>
      </c>
      <c r="D194" t="str">
        <f>"603718"</f>
        <v>603718</v>
      </c>
      <c r="E194" t="s">
        <v>19</v>
      </c>
      <c r="F194" t="s">
        <v>170</v>
      </c>
      <c r="G194">
        <v>300</v>
      </c>
      <c r="H194" t="str">
        <f>""</f>
        <v/>
      </c>
      <c r="I194">
        <v>51</v>
      </c>
      <c r="J194">
        <v>0</v>
      </c>
      <c r="K194" t="str">
        <f t="shared" si="26"/>
        <v>31000</v>
      </c>
      <c r="L194" t="str">
        <f t="shared" si="28"/>
        <v>0</v>
      </c>
      <c r="M194" t="str">
        <f t="shared" si="28"/>
        <v>0</v>
      </c>
      <c r="N194" t="str">
        <f t="shared" si="28"/>
        <v>0</v>
      </c>
    </row>
    <row r="195" spans="1:14" x14ac:dyDescent="0.3">
      <c r="A195" t="s">
        <v>17</v>
      </c>
      <c r="B195" t="s">
        <v>18</v>
      </c>
      <c r="C195" t="str">
        <f t="shared" si="27"/>
        <v>375</v>
      </c>
      <c r="D195" t="str">
        <f>"603725"</f>
        <v>603725</v>
      </c>
      <c r="E195" t="s">
        <v>19</v>
      </c>
      <c r="F195" t="s">
        <v>171</v>
      </c>
      <c r="G195">
        <v>300</v>
      </c>
      <c r="H195" t="str">
        <f>""</f>
        <v/>
      </c>
      <c r="I195">
        <v>62.18</v>
      </c>
      <c r="J195">
        <v>0</v>
      </c>
      <c r="K195" t="str">
        <f t="shared" si="26"/>
        <v>31000</v>
      </c>
      <c r="L195" t="str">
        <f t="shared" si="28"/>
        <v>0</v>
      </c>
      <c r="M195" t="str">
        <f t="shared" si="28"/>
        <v>0</v>
      </c>
      <c r="N195" t="str">
        <f t="shared" si="28"/>
        <v>0</v>
      </c>
    </row>
    <row r="196" spans="1:14" x14ac:dyDescent="0.3">
      <c r="A196" t="s">
        <v>17</v>
      </c>
      <c r="B196" t="s">
        <v>18</v>
      </c>
      <c r="C196" t="str">
        <f t="shared" si="27"/>
        <v>375</v>
      </c>
      <c r="D196" t="str">
        <f>"603726"</f>
        <v>603726</v>
      </c>
      <c r="E196" t="s">
        <v>19</v>
      </c>
      <c r="F196" t="s">
        <v>172</v>
      </c>
      <c r="G196">
        <v>300</v>
      </c>
      <c r="H196" t="str">
        <f>""</f>
        <v/>
      </c>
      <c r="I196">
        <v>106.3</v>
      </c>
      <c r="J196">
        <v>0</v>
      </c>
      <c r="K196" t="str">
        <f t="shared" si="26"/>
        <v>31000</v>
      </c>
      <c r="L196" t="str">
        <f t="shared" si="28"/>
        <v>0</v>
      </c>
      <c r="M196" t="str">
        <f t="shared" si="28"/>
        <v>0</v>
      </c>
      <c r="N196" t="str">
        <f t="shared" si="28"/>
        <v>0</v>
      </c>
    </row>
    <row r="197" spans="1:14" x14ac:dyDescent="0.3">
      <c r="A197" t="s">
        <v>17</v>
      </c>
      <c r="B197" t="s">
        <v>18</v>
      </c>
      <c r="C197" t="str">
        <f t="shared" si="27"/>
        <v>375</v>
      </c>
      <c r="D197" t="str">
        <f>"603727"</f>
        <v>603727</v>
      </c>
      <c r="E197" t="s">
        <v>19</v>
      </c>
      <c r="F197" t="s">
        <v>173</v>
      </c>
      <c r="G197">
        <v>300</v>
      </c>
      <c r="H197" t="str">
        <f>""</f>
        <v/>
      </c>
      <c r="I197">
        <v>7.88</v>
      </c>
      <c r="J197">
        <v>0</v>
      </c>
      <c r="K197" t="str">
        <f t="shared" si="26"/>
        <v>31000</v>
      </c>
      <c r="L197" t="str">
        <f t="shared" si="28"/>
        <v>0</v>
      </c>
      <c r="M197" t="str">
        <f t="shared" si="28"/>
        <v>0</v>
      </c>
      <c r="N197" t="str">
        <f t="shared" si="28"/>
        <v>0</v>
      </c>
    </row>
    <row r="198" spans="1:14" x14ac:dyDescent="0.3">
      <c r="A198" t="s">
        <v>17</v>
      </c>
      <c r="B198" t="s">
        <v>18</v>
      </c>
      <c r="C198" t="str">
        <f t="shared" si="27"/>
        <v>375</v>
      </c>
      <c r="D198" t="str">
        <f>"603728"</f>
        <v>603728</v>
      </c>
      <c r="E198" t="s">
        <v>19</v>
      </c>
      <c r="F198" t="s">
        <v>174</v>
      </c>
      <c r="G198">
        <v>300</v>
      </c>
      <c r="H198" t="str">
        <f>""</f>
        <v/>
      </c>
      <c r="I198">
        <v>15.68</v>
      </c>
      <c r="J198">
        <v>0</v>
      </c>
      <c r="K198" t="str">
        <f t="shared" si="26"/>
        <v>31000</v>
      </c>
      <c r="L198" t="str">
        <f t="shared" si="28"/>
        <v>0</v>
      </c>
      <c r="M198" t="str">
        <f t="shared" si="28"/>
        <v>0</v>
      </c>
      <c r="N198" t="str">
        <f t="shared" si="28"/>
        <v>0</v>
      </c>
    </row>
    <row r="199" spans="1:14" x14ac:dyDescent="0.3">
      <c r="A199" t="s">
        <v>17</v>
      </c>
      <c r="B199" t="s">
        <v>18</v>
      </c>
      <c r="C199" t="str">
        <f t="shared" si="27"/>
        <v>375</v>
      </c>
      <c r="D199" t="str">
        <f>"603729"</f>
        <v>603729</v>
      </c>
      <c r="E199" t="s">
        <v>19</v>
      </c>
      <c r="F199" t="s">
        <v>175</v>
      </c>
      <c r="G199">
        <v>300</v>
      </c>
      <c r="H199" t="str">
        <f>""</f>
        <v/>
      </c>
      <c r="I199">
        <v>89</v>
      </c>
      <c r="J199">
        <v>0</v>
      </c>
      <c r="K199" t="str">
        <f t="shared" si="26"/>
        <v>31000</v>
      </c>
      <c r="L199" t="str">
        <f t="shared" ref="L199:N218" si="29">"0"</f>
        <v>0</v>
      </c>
      <c r="M199" t="str">
        <f t="shared" si="29"/>
        <v>0</v>
      </c>
      <c r="N199" t="str">
        <f t="shared" si="29"/>
        <v>0</v>
      </c>
    </row>
    <row r="200" spans="1:14" x14ac:dyDescent="0.3">
      <c r="A200" t="s">
        <v>17</v>
      </c>
      <c r="B200" t="s">
        <v>18</v>
      </c>
      <c r="C200" t="str">
        <f t="shared" si="27"/>
        <v>375</v>
      </c>
      <c r="D200" t="str">
        <f>"603730"</f>
        <v>603730</v>
      </c>
      <c r="E200" t="s">
        <v>19</v>
      </c>
      <c r="F200" t="s">
        <v>176</v>
      </c>
      <c r="G200">
        <v>300</v>
      </c>
      <c r="H200" t="str">
        <f>""</f>
        <v/>
      </c>
      <c r="I200">
        <v>57.96</v>
      </c>
      <c r="J200">
        <v>0</v>
      </c>
      <c r="K200" t="str">
        <f t="shared" si="26"/>
        <v>31000</v>
      </c>
      <c r="L200" t="str">
        <f t="shared" si="29"/>
        <v>0</v>
      </c>
      <c r="M200" t="str">
        <f t="shared" si="29"/>
        <v>0</v>
      </c>
      <c r="N200" t="str">
        <f t="shared" si="29"/>
        <v>0</v>
      </c>
    </row>
    <row r="201" spans="1:14" x14ac:dyDescent="0.3">
      <c r="A201" t="s">
        <v>17</v>
      </c>
      <c r="B201" t="s">
        <v>18</v>
      </c>
      <c r="C201" t="str">
        <f t="shared" si="27"/>
        <v>375</v>
      </c>
      <c r="D201" t="str">
        <f>"603731"</f>
        <v>603731</v>
      </c>
      <c r="E201" t="s">
        <v>19</v>
      </c>
      <c r="F201" t="s">
        <v>177</v>
      </c>
      <c r="G201">
        <v>300</v>
      </c>
      <c r="H201" t="str">
        <f>""</f>
        <v/>
      </c>
      <c r="I201">
        <v>66.48</v>
      </c>
      <c r="J201">
        <v>0</v>
      </c>
      <c r="K201" t="str">
        <f t="shared" si="26"/>
        <v>31000</v>
      </c>
      <c r="L201" t="str">
        <f t="shared" si="29"/>
        <v>0</v>
      </c>
      <c r="M201" t="str">
        <f t="shared" si="29"/>
        <v>0</v>
      </c>
      <c r="N201" t="str">
        <f t="shared" si="29"/>
        <v>0</v>
      </c>
    </row>
    <row r="202" spans="1:14" x14ac:dyDescent="0.3">
      <c r="A202" t="s">
        <v>17</v>
      </c>
      <c r="B202" t="s">
        <v>18</v>
      </c>
      <c r="C202" t="str">
        <f t="shared" si="27"/>
        <v>375</v>
      </c>
      <c r="D202" t="str">
        <f>"603737"</f>
        <v>603737</v>
      </c>
      <c r="E202" t="s">
        <v>19</v>
      </c>
      <c r="F202" t="s">
        <v>178</v>
      </c>
      <c r="G202">
        <v>300</v>
      </c>
      <c r="H202" t="str">
        <f>""</f>
        <v/>
      </c>
      <c r="I202">
        <v>17.04</v>
      </c>
      <c r="J202">
        <v>0</v>
      </c>
      <c r="K202" t="str">
        <f t="shared" si="26"/>
        <v>31000</v>
      </c>
      <c r="L202" t="str">
        <f t="shared" si="29"/>
        <v>0</v>
      </c>
      <c r="M202" t="str">
        <f t="shared" si="29"/>
        <v>0</v>
      </c>
      <c r="N202" t="str">
        <f t="shared" si="29"/>
        <v>0</v>
      </c>
    </row>
    <row r="203" spans="1:14" x14ac:dyDescent="0.3">
      <c r="A203" t="s">
        <v>17</v>
      </c>
      <c r="B203" t="s">
        <v>18</v>
      </c>
      <c r="C203" t="str">
        <f t="shared" si="27"/>
        <v>375</v>
      </c>
      <c r="D203" t="str">
        <f>"603762"</f>
        <v>603762</v>
      </c>
      <c r="E203" t="s">
        <v>19</v>
      </c>
      <c r="F203" t="s">
        <v>179</v>
      </c>
      <c r="G203">
        <v>300</v>
      </c>
      <c r="H203" t="str">
        <f>""</f>
        <v/>
      </c>
      <c r="I203">
        <v>93.75</v>
      </c>
      <c r="J203">
        <v>0</v>
      </c>
      <c r="K203" t="str">
        <f t="shared" si="26"/>
        <v>31000</v>
      </c>
      <c r="L203" t="str">
        <f t="shared" si="29"/>
        <v>0</v>
      </c>
      <c r="M203" t="str">
        <f t="shared" si="29"/>
        <v>0</v>
      </c>
      <c r="N203" t="str">
        <f t="shared" si="29"/>
        <v>0</v>
      </c>
    </row>
    <row r="204" spans="1:14" x14ac:dyDescent="0.3">
      <c r="A204" t="s">
        <v>17</v>
      </c>
      <c r="B204" t="s">
        <v>18</v>
      </c>
      <c r="C204" t="str">
        <f t="shared" si="27"/>
        <v>375</v>
      </c>
      <c r="D204" t="str">
        <f>"603771"</f>
        <v>603771</v>
      </c>
      <c r="E204" t="s">
        <v>19</v>
      </c>
      <c r="F204" t="s">
        <v>180</v>
      </c>
      <c r="G204">
        <v>300</v>
      </c>
      <c r="H204" t="str">
        <f>"87070"</f>
        <v>87070</v>
      </c>
      <c r="I204">
        <v>58.55</v>
      </c>
      <c r="J204">
        <v>0</v>
      </c>
      <c r="K204" t="str">
        <f t="shared" si="26"/>
        <v>31000</v>
      </c>
      <c r="L204" t="str">
        <f t="shared" si="29"/>
        <v>0</v>
      </c>
      <c r="M204" t="str">
        <f t="shared" si="29"/>
        <v>0</v>
      </c>
      <c r="N204" t="str">
        <f t="shared" si="29"/>
        <v>0</v>
      </c>
    </row>
    <row r="205" spans="1:14" x14ac:dyDescent="0.3">
      <c r="A205" t="s">
        <v>17</v>
      </c>
      <c r="B205" t="s">
        <v>18</v>
      </c>
      <c r="C205" t="str">
        <f t="shared" ref="C205:C236" si="30">"375"</f>
        <v>375</v>
      </c>
      <c r="D205" t="str">
        <f>"603775"</f>
        <v>603775</v>
      </c>
      <c r="E205" t="s">
        <v>19</v>
      </c>
      <c r="F205" t="s">
        <v>181</v>
      </c>
      <c r="G205">
        <v>300</v>
      </c>
      <c r="H205" t="str">
        <f>""</f>
        <v/>
      </c>
      <c r="I205">
        <v>99.8</v>
      </c>
      <c r="J205">
        <v>0</v>
      </c>
      <c r="K205" t="str">
        <f t="shared" si="26"/>
        <v>31000</v>
      </c>
      <c r="L205" t="str">
        <f t="shared" si="29"/>
        <v>0</v>
      </c>
      <c r="M205" t="str">
        <f t="shared" si="29"/>
        <v>0</v>
      </c>
      <c r="N205" t="str">
        <f t="shared" si="29"/>
        <v>0</v>
      </c>
    </row>
    <row r="206" spans="1:14" x14ac:dyDescent="0.3">
      <c r="A206" t="s">
        <v>17</v>
      </c>
      <c r="B206" t="s">
        <v>18</v>
      </c>
      <c r="C206" t="str">
        <f t="shared" si="30"/>
        <v>375</v>
      </c>
      <c r="D206" t="str">
        <f>"603776"</f>
        <v>603776</v>
      </c>
      <c r="E206" t="s">
        <v>19</v>
      </c>
      <c r="F206" t="s">
        <v>182</v>
      </c>
      <c r="G206">
        <v>300</v>
      </c>
      <c r="H206" t="str">
        <f>""</f>
        <v/>
      </c>
      <c r="I206">
        <v>80.64</v>
      </c>
      <c r="J206">
        <v>0</v>
      </c>
      <c r="K206" t="str">
        <f t="shared" si="26"/>
        <v>31000</v>
      </c>
      <c r="L206" t="str">
        <f t="shared" si="29"/>
        <v>0</v>
      </c>
      <c r="M206" t="str">
        <f t="shared" si="29"/>
        <v>0</v>
      </c>
      <c r="N206" t="str">
        <f t="shared" si="29"/>
        <v>0</v>
      </c>
    </row>
    <row r="207" spans="1:14" x14ac:dyDescent="0.3">
      <c r="A207" t="s">
        <v>17</v>
      </c>
      <c r="B207" t="s">
        <v>18</v>
      </c>
      <c r="C207" t="str">
        <f t="shared" si="30"/>
        <v>375</v>
      </c>
      <c r="D207" t="str">
        <f>"603777"</f>
        <v>603777</v>
      </c>
      <c r="E207" t="s">
        <v>19</v>
      </c>
      <c r="F207" t="s">
        <v>183</v>
      </c>
      <c r="G207">
        <v>300</v>
      </c>
      <c r="H207" t="str">
        <f>""</f>
        <v/>
      </c>
      <c r="I207">
        <v>14.6</v>
      </c>
      <c r="J207">
        <v>0</v>
      </c>
      <c r="K207" t="str">
        <f t="shared" si="26"/>
        <v>31000</v>
      </c>
      <c r="L207" t="str">
        <f t="shared" si="29"/>
        <v>0</v>
      </c>
      <c r="M207" t="str">
        <f t="shared" si="29"/>
        <v>0</v>
      </c>
      <c r="N207" t="str">
        <f t="shared" si="29"/>
        <v>0</v>
      </c>
    </row>
    <row r="208" spans="1:14" x14ac:dyDescent="0.3">
      <c r="A208" t="s">
        <v>17</v>
      </c>
      <c r="B208" t="s">
        <v>18</v>
      </c>
      <c r="C208" t="str">
        <f t="shared" si="30"/>
        <v>375</v>
      </c>
      <c r="D208" t="str">
        <f>"603779"</f>
        <v>603779</v>
      </c>
      <c r="E208" t="s">
        <v>19</v>
      </c>
      <c r="F208" t="s">
        <v>184</v>
      </c>
      <c r="G208">
        <v>300</v>
      </c>
      <c r="H208" t="str">
        <f>""</f>
        <v/>
      </c>
      <c r="I208">
        <v>42.24</v>
      </c>
      <c r="J208">
        <v>0</v>
      </c>
      <c r="K208" t="str">
        <f t="shared" si="26"/>
        <v>31000</v>
      </c>
      <c r="L208" t="str">
        <f t="shared" si="29"/>
        <v>0</v>
      </c>
      <c r="M208" t="str">
        <f t="shared" si="29"/>
        <v>0</v>
      </c>
      <c r="N208" t="str">
        <f t="shared" si="29"/>
        <v>0</v>
      </c>
    </row>
    <row r="209" spans="1:14" x14ac:dyDescent="0.3">
      <c r="A209" t="s">
        <v>17</v>
      </c>
      <c r="B209" t="s">
        <v>18</v>
      </c>
      <c r="C209" t="str">
        <f t="shared" si="30"/>
        <v>375</v>
      </c>
      <c r="D209" t="str">
        <f>"603780"</f>
        <v>603780</v>
      </c>
      <c r="E209" t="s">
        <v>19</v>
      </c>
      <c r="F209" t="s">
        <v>185</v>
      </c>
      <c r="G209">
        <v>300</v>
      </c>
      <c r="H209" t="str">
        <f>"85025"</f>
        <v>85025</v>
      </c>
      <c r="I209">
        <v>31</v>
      </c>
      <c r="J209">
        <v>0</v>
      </c>
      <c r="K209" t="str">
        <f t="shared" si="26"/>
        <v>31000</v>
      </c>
      <c r="L209" t="str">
        <f t="shared" si="29"/>
        <v>0</v>
      </c>
      <c r="M209" t="str">
        <f t="shared" si="29"/>
        <v>0</v>
      </c>
      <c r="N209" t="str">
        <f t="shared" si="29"/>
        <v>0</v>
      </c>
    </row>
    <row r="210" spans="1:14" x14ac:dyDescent="0.3">
      <c r="A210" t="s">
        <v>17</v>
      </c>
      <c r="B210" t="s">
        <v>18</v>
      </c>
      <c r="C210" t="str">
        <f t="shared" si="30"/>
        <v>375</v>
      </c>
      <c r="D210" t="str">
        <f>"603790"</f>
        <v>603790</v>
      </c>
      <c r="E210" t="s">
        <v>19</v>
      </c>
      <c r="F210" t="s">
        <v>186</v>
      </c>
      <c r="G210">
        <v>300</v>
      </c>
      <c r="H210" t="str">
        <f>""</f>
        <v/>
      </c>
      <c r="I210">
        <v>27</v>
      </c>
      <c r="J210">
        <v>0</v>
      </c>
      <c r="K210" t="str">
        <f t="shared" si="26"/>
        <v>31000</v>
      </c>
      <c r="L210" t="str">
        <f t="shared" si="29"/>
        <v>0</v>
      </c>
      <c r="M210" t="str">
        <f t="shared" si="29"/>
        <v>0</v>
      </c>
      <c r="N210" t="str">
        <f t="shared" si="29"/>
        <v>0</v>
      </c>
    </row>
    <row r="211" spans="1:14" x14ac:dyDescent="0.3">
      <c r="A211" t="s">
        <v>17</v>
      </c>
      <c r="B211" t="s">
        <v>18</v>
      </c>
      <c r="C211" t="str">
        <f t="shared" si="30"/>
        <v>375</v>
      </c>
      <c r="D211" t="str">
        <f>"603800"</f>
        <v>603800</v>
      </c>
      <c r="E211" t="s">
        <v>19</v>
      </c>
      <c r="F211" t="s">
        <v>187</v>
      </c>
      <c r="G211">
        <v>300</v>
      </c>
      <c r="I211">
        <v>35.200000000000003</v>
      </c>
      <c r="J211">
        <v>0</v>
      </c>
      <c r="K211" t="str">
        <f t="shared" si="26"/>
        <v>31000</v>
      </c>
      <c r="L211" t="str">
        <f t="shared" si="29"/>
        <v>0</v>
      </c>
      <c r="M211" t="str">
        <f t="shared" si="29"/>
        <v>0</v>
      </c>
      <c r="N211" t="str">
        <f t="shared" si="29"/>
        <v>0</v>
      </c>
    </row>
    <row r="212" spans="1:14" x14ac:dyDescent="0.3">
      <c r="A212" t="s">
        <v>17</v>
      </c>
      <c r="B212" t="s">
        <v>18</v>
      </c>
      <c r="C212" t="str">
        <f t="shared" si="30"/>
        <v>375</v>
      </c>
      <c r="D212" t="str">
        <f>"603881"</f>
        <v>603881</v>
      </c>
      <c r="E212" t="s">
        <v>19</v>
      </c>
      <c r="F212" t="s">
        <v>188</v>
      </c>
      <c r="G212">
        <v>300</v>
      </c>
      <c r="H212" t="str">
        <f>""</f>
        <v/>
      </c>
      <c r="I212">
        <v>32.340000000000003</v>
      </c>
      <c r="J212">
        <v>0</v>
      </c>
      <c r="K212" t="str">
        <f t="shared" si="26"/>
        <v>31000</v>
      </c>
      <c r="L212" t="str">
        <f t="shared" si="29"/>
        <v>0</v>
      </c>
      <c r="M212" t="str">
        <f t="shared" si="29"/>
        <v>0</v>
      </c>
      <c r="N212" t="str">
        <f t="shared" si="29"/>
        <v>0</v>
      </c>
    </row>
    <row r="213" spans="1:14" x14ac:dyDescent="0.3">
      <c r="A213" t="s">
        <v>17</v>
      </c>
      <c r="B213" t="s">
        <v>18</v>
      </c>
      <c r="C213" t="str">
        <f t="shared" si="30"/>
        <v>375</v>
      </c>
      <c r="D213" t="str">
        <f>"603883"</f>
        <v>603883</v>
      </c>
      <c r="E213" t="s">
        <v>19</v>
      </c>
      <c r="F213" t="s">
        <v>189</v>
      </c>
      <c r="G213">
        <v>300</v>
      </c>
      <c r="H213" t="str">
        <f>""</f>
        <v/>
      </c>
      <c r="I213">
        <v>25.2</v>
      </c>
      <c r="J213">
        <v>0</v>
      </c>
      <c r="K213" t="str">
        <f t="shared" si="26"/>
        <v>31000</v>
      </c>
      <c r="L213" t="str">
        <f t="shared" si="29"/>
        <v>0</v>
      </c>
      <c r="M213" t="str">
        <f t="shared" si="29"/>
        <v>0</v>
      </c>
      <c r="N213" t="str">
        <f t="shared" si="29"/>
        <v>0</v>
      </c>
    </row>
    <row r="214" spans="1:14" x14ac:dyDescent="0.3">
      <c r="A214" t="s">
        <v>17</v>
      </c>
      <c r="B214" t="s">
        <v>18</v>
      </c>
      <c r="C214" t="str">
        <f t="shared" si="30"/>
        <v>375</v>
      </c>
      <c r="D214" t="str">
        <f>"605214"</f>
        <v>605214</v>
      </c>
      <c r="E214" t="s">
        <v>19</v>
      </c>
      <c r="F214" t="s">
        <v>190</v>
      </c>
      <c r="G214">
        <v>300</v>
      </c>
      <c r="H214" t="str">
        <f>""</f>
        <v/>
      </c>
      <c r="I214">
        <v>26.04</v>
      </c>
      <c r="J214">
        <v>0</v>
      </c>
      <c r="K214" t="str">
        <f t="shared" si="26"/>
        <v>31000</v>
      </c>
      <c r="L214" t="str">
        <f t="shared" si="29"/>
        <v>0</v>
      </c>
      <c r="M214" t="str">
        <f t="shared" si="29"/>
        <v>0</v>
      </c>
      <c r="N214" t="str">
        <f t="shared" si="29"/>
        <v>0</v>
      </c>
    </row>
    <row r="215" spans="1:14" x14ac:dyDescent="0.3">
      <c r="A215" t="s">
        <v>17</v>
      </c>
      <c r="B215" t="s">
        <v>18</v>
      </c>
      <c r="C215" t="str">
        <f t="shared" si="30"/>
        <v>375</v>
      </c>
      <c r="D215" t="str">
        <f>"605392"</f>
        <v>605392</v>
      </c>
      <c r="E215" t="s">
        <v>19</v>
      </c>
      <c r="F215" t="s">
        <v>191</v>
      </c>
      <c r="G215">
        <v>300</v>
      </c>
      <c r="H215" t="str">
        <f>""</f>
        <v/>
      </c>
      <c r="I215">
        <v>25</v>
      </c>
      <c r="J215">
        <v>0</v>
      </c>
      <c r="K215" t="str">
        <f t="shared" si="26"/>
        <v>31000</v>
      </c>
      <c r="L215" t="str">
        <f t="shared" si="29"/>
        <v>0</v>
      </c>
      <c r="M215" t="str">
        <f t="shared" si="29"/>
        <v>0</v>
      </c>
      <c r="N215" t="str">
        <f t="shared" si="29"/>
        <v>0</v>
      </c>
    </row>
    <row r="216" spans="1:14" x14ac:dyDescent="0.3">
      <c r="A216" t="s">
        <v>17</v>
      </c>
      <c r="B216" t="s">
        <v>18</v>
      </c>
      <c r="C216" t="str">
        <f t="shared" si="30"/>
        <v>375</v>
      </c>
      <c r="D216" t="str">
        <f>"606300"</f>
        <v>606300</v>
      </c>
      <c r="E216" t="s">
        <v>19</v>
      </c>
      <c r="F216" t="s">
        <v>192</v>
      </c>
      <c r="G216">
        <v>300</v>
      </c>
      <c r="H216" t="str">
        <f>""</f>
        <v/>
      </c>
      <c r="I216">
        <v>9.65</v>
      </c>
      <c r="J216">
        <v>0</v>
      </c>
      <c r="K216" t="str">
        <f t="shared" si="26"/>
        <v>31000</v>
      </c>
      <c r="L216" t="str">
        <f t="shared" si="29"/>
        <v>0</v>
      </c>
      <c r="M216" t="str">
        <f t="shared" si="29"/>
        <v>0</v>
      </c>
      <c r="N216" t="str">
        <f t="shared" si="29"/>
        <v>0</v>
      </c>
    </row>
    <row r="217" spans="1:14" x14ac:dyDescent="0.3">
      <c r="A217" t="s">
        <v>17</v>
      </c>
      <c r="B217" t="s">
        <v>18</v>
      </c>
      <c r="C217" t="str">
        <f t="shared" si="30"/>
        <v>375</v>
      </c>
      <c r="D217" t="str">
        <f>"606312"</f>
        <v>606312</v>
      </c>
      <c r="E217" t="s">
        <v>19</v>
      </c>
      <c r="F217" t="s">
        <v>193</v>
      </c>
      <c r="G217">
        <v>300</v>
      </c>
      <c r="H217" t="str">
        <f>""</f>
        <v/>
      </c>
      <c r="I217">
        <v>27</v>
      </c>
      <c r="J217">
        <v>0</v>
      </c>
      <c r="K217" t="str">
        <f t="shared" si="26"/>
        <v>31000</v>
      </c>
      <c r="L217" t="str">
        <f t="shared" si="29"/>
        <v>0</v>
      </c>
      <c r="M217" t="str">
        <f t="shared" si="29"/>
        <v>0</v>
      </c>
      <c r="N217" t="str">
        <f t="shared" si="29"/>
        <v>0</v>
      </c>
    </row>
    <row r="218" spans="1:14" x14ac:dyDescent="0.3">
      <c r="A218" t="s">
        <v>17</v>
      </c>
      <c r="B218" t="s">
        <v>18</v>
      </c>
      <c r="C218" t="str">
        <f t="shared" si="30"/>
        <v>375</v>
      </c>
      <c r="D218" t="str">
        <f>"607100"</f>
        <v>607100</v>
      </c>
      <c r="E218" t="s">
        <v>19</v>
      </c>
      <c r="F218" t="s">
        <v>194</v>
      </c>
      <c r="G218">
        <v>300</v>
      </c>
      <c r="H218" t="str">
        <f>""</f>
        <v/>
      </c>
      <c r="I218">
        <v>39</v>
      </c>
      <c r="J218">
        <v>0</v>
      </c>
      <c r="K218" t="str">
        <f t="shared" si="26"/>
        <v>31000</v>
      </c>
      <c r="L218" t="str">
        <f t="shared" si="29"/>
        <v>0</v>
      </c>
      <c r="M218" t="str">
        <f t="shared" si="29"/>
        <v>0</v>
      </c>
      <c r="N218" t="str">
        <f t="shared" si="29"/>
        <v>0</v>
      </c>
    </row>
    <row r="219" spans="1:14" x14ac:dyDescent="0.3">
      <c r="A219" t="s">
        <v>17</v>
      </c>
      <c r="B219" t="s">
        <v>18</v>
      </c>
      <c r="C219" t="str">
        <f t="shared" si="30"/>
        <v>375</v>
      </c>
      <c r="D219" t="str">
        <f>"608155"</f>
        <v>608155</v>
      </c>
      <c r="E219" t="s">
        <v>19</v>
      </c>
      <c r="F219" t="s">
        <v>195</v>
      </c>
      <c r="G219">
        <v>300</v>
      </c>
      <c r="H219" t="str">
        <f>""</f>
        <v/>
      </c>
      <c r="I219">
        <v>19.399999999999999</v>
      </c>
      <c r="J219">
        <v>0</v>
      </c>
      <c r="K219" t="str">
        <f t="shared" si="26"/>
        <v>31000</v>
      </c>
      <c r="L219" t="str">
        <f t="shared" ref="L219:N225" si="31">"0"</f>
        <v>0</v>
      </c>
      <c r="M219" t="str">
        <f t="shared" si="31"/>
        <v>0</v>
      </c>
      <c r="N219" t="str">
        <f t="shared" si="31"/>
        <v>0</v>
      </c>
    </row>
    <row r="220" spans="1:14" x14ac:dyDescent="0.3">
      <c r="A220" t="s">
        <v>17</v>
      </c>
      <c r="B220" t="s">
        <v>18</v>
      </c>
      <c r="C220" t="str">
        <f t="shared" si="30"/>
        <v>375</v>
      </c>
      <c r="D220" t="str">
        <f>"609042"</f>
        <v>609042</v>
      </c>
      <c r="E220" t="s">
        <v>19</v>
      </c>
      <c r="F220" t="s">
        <v>196</v>
      </c>
      <c r="G220">
        <v>300</v>
      </c>
      <c r="H220" t="str">
        <f>""</f>
        <v/>
      </c>
      <c r="I220">
        <v>25.9</v>
      </c>
      <c r="J220">
        <v>0</v>
      </c>
      <c r="K220" t="str">
        <f t="shared" si="26"/>
        <v>31000</v>
      </c>
      <c r="L220" t="str">
        <f t="shared" si="31"/>
        <v>0</v>
      </c>
      <c r="M220" t="str">
        <f t="shared" si="31"/>
        <v>0</v>
      </c>
      <c r="N220" t="str">
        <f t="shared" si="31"/>
        <v>0</v>
      </c>
    </row>
    <row r="221" spans="1:14" x14ac:dyDescent="0.3">
      <c r="A221" t="s">
        <v>17</v>
      </c>
      <c r="B221" t="s">
        <v>18</v>
      </c>
      <c r="C221" t="str">
        <f t="shared" si="30"/>
        <v>375</v>
      </c>
      <c r="D221" t="str">
        <f>"609401"</f>
        <v>609401</v>
      </c>
      <c r="E221" t="s">
        <v>19</v>
      </c>
      <c r="F221" t="s">
        <v>197</v>
      </c>
      <c r="G221">
        <v>300</v>
      </c>
      <c r="H221" t="str">
        <f>""</f>
        <v/>
      </c>
      <c r="I221">
        <v>37.700000000000003</v>
      </c>
      <c r="J221">
        <v>0</v>
      </c>
      <c r="K221" t="str">
        <f t="shared" si="26"/>
        <v>31000</v>
      </c>
      <c r="L221" t="str">
        <f t="shared" si="31"/>
        <v>0</v>
      </c>
      <c r="M221" t="str">
        <f t="shared" si="31"/>
        <v>0</v>
      </c>
      <c r="N221" t="str">
        <f t="shared" si="31"/>
        <v>0</v>
      </c>
    </row>
    <row r="222" spans="1:14" x14ac:dyDescent="0.3">
      <c r="A222" t="s">
        <v>17</v>
      </c>
      <c r="B222" t="s">
        <v>18</v>
      </c>
      <c r="C222" t="str">
        <f t="shared" si="30"/>
        <v>375</v>
      </c>
      <c r="D222" t="str">
        <f>"610051"</f>
        <v>610051</v>
      </c>
      <c r="E222" t="s">
        <v>19</v>
      </c>
      <c r="F222" t="s">
        <v>198</v>
      </c>
      <c r="G222">
        <v>300</v>
      </c>
      <c r="H222" t="str">
        <f>"82542"</f>
        <v>82542</v>
      </c>
      <c r="I222">
        <v>255</v>
      </c>
      <c r="J222">
        <v>0</v>
      </c>
      <c r="K222" t="str">
        <f t="shared" si="26"/>
        <v>31000</v>
      </c>
      <c r="L222" t="str">
        <f t="shared" si="31"/>
        <v>0</v>
      </c>
      <c r="M222" t="str">
        <f t="shared" si="31"/>
        <v>0</v>
      </c>
      <c r="N222" t="str">
        <f t="shared" si="31"/>
        <v>0</v>
      </c>
    </row>
    <row r="223" spans="1:14" x14ac:dyDescent="0.3">
      <c r="A223" t="s">
        <v>17</v>
      </c>
      <c r="B223" t="s">
        <v>18</v>
      </c>
      <c r="C223" t="str">
        <f t="shared" si="30"/>
        <v>375</v>
      </c>
      <c r="D223" t="str">
        <f>"610052"</f>
        <v>610052</v>
      </c>
      <c r="E223" t="s">
        <v>19</v>
      </c>
      <c r="F223" t="s">
        <v>199</v>
      </c>
      <c r="G223">
        <v>300</v>
      </c>
      <c r="H223" t="str">
        <f>""</f>
        <v/>
      </c>
      <c r="I223">
        <v>46.85</v>
      </c>
      <c r="J223">
        <v>0</v>
      </c>
      <c r="K223" t="str">
        <f t="shared" si="26"/>
        <v>31000</v>
      </c>
      <c r="L223" t="str">
        <f t="shared" si="31"/>
        <v>0</v>
      </c>
      <c r="M223" t="str">
        <f t="shared" si="31"/>
        <v>0</v>
      </c>
      <c r="N223" t="str">
        <f t="shared" si="31"/>
        <v>0</v>
      </c>
    </row>
    <row r="224" spans="1:14" x14ac:dyDescent="0.3">
      <c r="A224" t="s">
        <v>17</v>
      </c>
      <c r="B224" t="s">
        <v>18</v>
      </c>
      <c r="C224" t="str">
        <f t="shared" si="30"/>
        <v>375</v>
      </c>
      <c r="D224" t="str">
        <f>"610053"</f>
        <v>610053</v>
      </c>
      <c r="E224" t="s">
        <v>19</v>
      </c>
      <c r="F224" t="s">
        <v>200</v>
      </c>
      <c r="G224">
        <v>300</v>
      </c>
      <c r="H224" t="str">
        <f>""</f>
        <v/>
      </c>
      <c r="I224">
        <v>39.9</v>
      </c>
      <c r="J224">
        <v>0</v>
      </c>
      <c r="K224" t="str">
        <f t="shared" si="26"/>
        <v>31000</v>
      </c>
      <c r="L224" t="str">
        <f t="shared" si="31"/>
        <v>0</v>
      </c>
      <c r="M224" t="str">
        <f t="shared" si="31"/>
        <v>0</v>
      </c>
      <c r="N224" t="str">
        <f t="shared" si="31"/>
        <v>0</v>
      </c>
    </row>
    <row r="225" spans="1:14" x14ac:dyDescent="0.3">
      <c r="A225" t="s">
        <v>17</v>
      </c>
      <c r="B225" t="s">
        <v>18</v>
      </c>
      <c r="C225" t="str">
        <f t="shared" si="30"/>
        <v>375</v>
      </c>
      <c r="D225" t="str">
        <f>"610054"</f>
        <v>610054</v>
      </c>
      <c r="E225" t="s">
        <v>19</v>
      </c>
      <c r="F225" t="s">
        <v>201</v>
      </c>
      <c r="G225">
        <v>300</v>
      </c>
      <c r="H225" t="str">
        <f>""</f>
        <v/>
      </c>
      <c r="I225">
        <v>39.9</v>
      </c>
      <c r="J225">
        <v>0</v>
      </c>
      <c r="K225" t="str">
        <f t="shared" si="26"/>
        <v>31000</v>
      </c>
      <c r="L225" t="str">
        <f t="shared" si="31"/>
        <v>0</v>
      </c>
      <c r="M225" t="str">
        <f t="shared" si="31"/>
        <v>0</v>
      </c>
      <c r="N225" t="str">
        <f t="shared" si="31"/>
        <v>0</v>
      </c>
    </row>
    <row r="226" spans="1:14" x14ac:dyDescent="0.3">
      <c r="A226" t="s">
        <v>17</v>
      </c>
      <c r="B226" t="s">
        <v>18</v>
      </c>
      <c r="C226" t="str">
        <f t="shared" si="30"/>
        <v>375</v>
      </c>
      <c r="D226" t="str">
        <f>"610055"</f>
        <v>610055</v>
      </c>
      <c r="E226" t="s">
        <v>19</v>
      </c>
      <c r="F226" t="s">
        <v>202</v>
      </c>
      <c r="G226">
        <v>300</v>
      </c>
      <c r="H226" t="str">
        <f>"82140"</f>
        <v>82140</v>
      </c>
      <c r="I226">
        <v>103.96</v>
      </c>
      <c r="J226">
        <v>0</v>
      </c>
      <c r="K226" t="str">
        <f t="shared" si="26"/>
        <v>31000</v>
      </c>
    </row>
    <row r="227" spans="1:14" x14ac:dyDescent="0.3">
      <c r="A227" t="s">
        <v>17</v>
      </c>
      <c r="B227" t="s">
        <v>18</v>
      </c>
      <c r="C227" t="str">
        <f t="shared" si="30"/>
        <v>375</v>
      </c>
      <c r="D227" t="str">
        <f>"610133"</f>
        <v>610133</v>
      </c>
      <c r="E227" t="s">
        <v>19</v>
      </c>
      <c r="F227" t="s">
        <v>162</v>
      </c>
      <c r="G227">
        <v>300</v>
      </c>
      <c r="H227" t="str">
        <f>""</f>
        <v/>
      </c>
      <c r="I227">
        <v>95</v>
      </c>
      <c r="J227">
        <v>0</v>
      </c>
      <c r="K227" t="str">
        <f t="shared" si="26"/>
        <v>31000</v>
      </c>
      <c r="L227" t="str">
        <f t="shared" ref="L227:N238" si="32">"0"</f>
        <v>0</v>
      </c>
      <c r="M227" t="str">
        <f t="shared" si="32"/>
        <v>0</v>
      </c>
      <c r="N227" t="str">
        <f t="shared" si="32"/>
        <v>0</v>
      </c>
    </row>
    <row r="228" spans="1:14" x14ac:dyDescent="0.3">
      <c r="A228" t="s">
        <v>17</v>
      </c>
      <c r="B228" t="s">
        <v>18</v>
      </c>
      <c r="C228" t="str">
        <f t="shared" si="30"/>
        <v>375</v>
      </c>
      <c r="D228" t="str">
        <f>"610330"</f>
        <v>610330</v>
      </c>
      <c r="E228" t="s">
        <v>19</v>
      </c>
      <c r="F228" t="s">
        <v>203</v>
      </c>
      <c r="G228">
        <v>300</v>
      </c>
      <c r="H228" t="str">
        <f>"84022"</f>
        <v>84022</v>
      </c>
      <c r="I228">
        <v>104.5</v>
      </c>
      <c r="J228">
        <v>0</v>
      </c>
      <c r="K228" t="str">
        <f t="shared" si="26"/>
        <v>31000</v>
      </c>
      <c r="L228" t="str">
        <f t="shared" si="32"/>
        <v>0</v>
      </c>
      <c r="M228" t="str">
        <f t="shared" si="32"/>
        <v>0</v>
      </c>
      <c r="N228" t="str">
        <f t="shared" si="32"/>
        <v>0</v>
      </c>
    </row>
    <row r="229" spans="1:14" x14ac:dyDescent="0.3">
      <c r="A229" t="s">
        <v>17</v>
      </c>
      <c r="B229" t="s">
        <v>18</v>
      </c>
      <c r="C229" t="str">
        <f t="shared" si="30"/>
        <v>375</v>
      </c>
      <c r="D229" t="str">
        <f>"610331"</f>
        <v>610331</v>
      </c>
      <c r="E229" t="s">
        <v>19</v>
      </c>
      <c r="F229" t="s">
        <v>204</v>
      </c>
      <c r="G229">
        <v>300</v>
      </c>
      <c r="H229" t="str">
        <f>"80101"</f>
        <v>80101</v>
      </c>
      <c r="I229">
        <v>88.5</v>
      </c>
      <c r="J229">
        <v>0</v>
      </c>
      <c r="K229" t="str">
        <f t="shared" si="26"/>
        <v>31000</v>
      </c>
      <c r="L229" t="str">
        <f t="shared" si="32"/>
        <v>0</v>
      </c>
      <c r="M229" t="str">
        <f t="shared" si="32"/>
        <v>0</v>
      </c>
      <c r="N229" t="str">
        <f t="shared" si="32"/>
        <v>0</v>
      </c>
    </row>
    <row r="230" spans="1:14" x14ac:dyDescent="0.3">
      <c r="A230" t="s">
        <v>17</v>
      </c>
      <c r="B230" t="s">
        <v>18</v>
      </c>
      <c r="C230" t="str">
        <f t="shared" si="30"/>
        <v>375</v>
      </c>
      <c r="D230" t="str">
        <f>"610472"</f>
        <v>610472</v>
      </c>
      <c r="E230" t="s">
        <v>19</v>
      </c>
      <c r="F230" t="s">
        <v>205</v>
      </c>
      <c r="G230">
        <v>300</v>
      </c>
      <c r="H230" t="str">
        <f>""</f>
        <v/>
      </c>
      <c r="I230">
        <v>42.42</v>
      </c>
      <c r="J230">
        <v>0</v>
      </c>
      <c r="K230" t="str">
        <f t="shared" si="26"/>
        <v>31000</v>
      </c>
      <c r="L230" t="str">
        <f t="shared" si="32"/>
        <v>0</v>
      </c>
      <c r="M230" t="str">
        <f t="shared" si="32"/>
        <v>0</v>
      </c>
      <c r="N230" t="str">
        <f t="shared" si="32"/>
        <v>0</v>
      </c>
    </row>
    <row r="231" spans="1:14" x14ac:dyDescent="0.3">
      <c r="A231" t="s">
        <v>17</v>
      </c>
      <c r="B231" t="s">
        <v>18</v>
      </c>
      <c r="C231" t="str">
        <f t="shared" si="30"/>
        <v>375</v>
      </c>
      <c r="D231" t="str">
        <f>"610502"</f>
        <v>610502</v>
      </c>
      <c r="E231" t="s">
        <v>19</v>
      </c>
      <c r="F231" t="s">
        <v>206</v>
      </c>
      <c r="G231">
        <v>300</v>
      </c>
      <c r="H231" t="str">
        <f>""</f>
        <v/>
      </c>
      <c r="I231">
        <v>26.1</v>
      </c>
      <c r="J231">
        <v>0</v>
      </c>
      <c r="K231" t="str">
        <f t="shared" si="26"/>
        <v>31000</v>
      </c>
      <c r="L231" t="str">
        <f t="shared" si="32"/>
        <v>0</v>
      </c>
      <c r="M231" t="str">
        <f t="shared" si="32"/>
        <v>0</v>
      </c>
      <c r="N231" t="str">
        <f t="shared" si="32"/>
        <v>0</v>
      </c>
    </row>
    <row r="232" spans="1:14" x14ac:dyDescent="0.3">
      <c r="A232" t="s">
        <v>17</v>
      </c>
      <c r="B232" t="s">
        <v>18</v>
      </c>
      <c r="C232" t="str">
        <f t="shared" si="30"/>
        <v>375</v>
      </c>
      <c r="D232" t="str">
        <f>"610503"</f>
        <v>610503</v>
      </c>
      <c r="E232" t="s">
        <v>19</v>
      </c>
      <c r="F232" t="s">
        <v>207</v>
      </c>
      <c r="G232">
        <v>300</v>
      </c>
      <c r="H232" t="str">
        <f>""</f>
        <v/>
      </c>
      <c r="I232">
        <v>40.25</v>
      </c>
      <c r="J232">
        <v>0</v>
      </c>
      <c r="K232" t="str">
        <f t="shared" si="26"/>
        <v>31000</v>
      </c>
      <c r="L232" t="str">
        <f t="shared" si="32"/>
        <v>0</v>
      </c>
      <c r="M232" t="str">
        <f t="shared" si="32"/>
        <v>0</v>
      </c>
      <c r="N232" t="str">
        <f t="shared" si="32"/>
        <v>0</v>
      </c>
    </row>
    <row r="233" spans="1:14" x14ac:dyDescent="0.3">
      <c r="A233" t="s">
        <v>17</v>
      </c>
      <c r="B233" t="s">
        <v>18</v>
      </c>
      <c r="C233" t="str">
        <f t="shared" si="30"/>
        <v>375</v>
      </c>
      <c r="D233" t="str">
        <f>"610521"</f>
        <v>610521</v>
      </c>
      <c r="E233" t="s">
        <v>19</v>
      </c>
      <c r="F233" t="s">
        <v>208</v>
      </c>
      <c r="G233">
        <v>300</v>
      </c>
      <c r="H233" t="str">
        <f>"84520"</f>
        <v>84520</v>
      </c>
      <c r="I233">
        <v>25</v>
      </c>
      <c r="J233">
        <v>0</v>
      </c>
      <c r="K233" t="str">
        <f t="shared" si="26"/>
        <v>31000</v>
      </c>
      <c r="L233" t="str">
        <f t="shared" si="32"/>
        <v>0</v>
      </c>
      <c r="M233" t="str">
        <f t="shared" si="32"/>
        <v>0</v>
      </c>
      <c r="N233" t="str">
        <f t="shared" si="32"/>
        <v>0</v>
      </c>
    </row>
    <row r="234" spans="1:14" x14ac:dyDescent="0.3">
      <c r="A234" t="s">
        <v>17</v>
      </c>
      <c r="B234" t="s">
        <v>18</v>
      </c>
      <c r="C234" t="str">
        <f t="shared" si="30"/>
        <v>375</v>
      </c>
      <c r="D234" t="str">
        <f>"610522"</f>
        <v>610522</v>
      </c>
      <c r="E234" t="s">
        <v>19</v>
      </c>
      <c r="F234" t="s">
        <v>209</v>
      </c>
      <c r="G234">
        <v>300</v>
      </c>
      <c r="H234" t="str">
        <f>"80061"</f>
        <v>80061</v>
      </c>
      <c r="I234">
        <v>42.5</v>
      </c>
      <c r="J234">
        <v>0</v>
      </c>
      <c r="K234" t="str">
        <f t="shared" si="26"/>
        <v>31000</v>
      </c>
      <c r="L234" t="str">
        <f t="shared" si="32"/>
        <v>0</v>
      </c>
      <c r="M234" t="str">
        <f t="shared" si="32"/>
        <v>0</v>
      </c>
      <c r="N234" t="str">
        <f t="shared" si="32"/>
        <v>0</v>
      </c>
    </row>
    <row r="235" spans="1:14" x14ac:dyDescent="0.3">
      <c r="A235" t="s">
        <v>17</v>
      </c>
      <c r="B235" t="s">
        <v>18</v>
      </c>
      <c r="C235" t="str">
        <f t="shared" si="30"/>
        <v>375</v>
      </c>
      <c r="D235" t="str">
        <f>"610554"</f>
        <v>610554</v>
      </c>
      <c r="E235" t="s">
        <v>19</v>
      </c>
      <c r="F235" t="s">
        <v>210</v>
      </c>
      <c r="G235">
        <v>300</v>
      </c>
      <c r="H235" t="str">
        <f>"82565"</f>
        <v>82565</v>
      </c>
      <c r="I235">
        <v>25</v>
      </c>
      <c r="J235">
        <v>0</v>
      </c>
      <c r="K235" t="str">
        <f t="shared" ref="K235:K298" si="33">"31000"</f>
        <v>31000</v>
      </c>
      <c r="L235" t="str">
        <f t="shared" si="32"/>
        <v>0</v>
      </c>
      <c r="M235" t="str">
        <f t="shared" si="32"/>
        <v>0</v>
      </c>
      <c r="N235" t="str">
        <f t="shared" si="32"/>
        <v>0</v>
      </c>
    </row>
    <row r="236" spans="1:14" x14ac:dyDescent="0.3">
      <c r="A236" t="s">
        <v>17</v>
      </c>
      <c r="B236" t="s">
        <v>18</v>
      </c>
      <c r="C236" t="str">
        <f t="shared" si="30"/>
        <v>375</v>
      </c>
      <c r="D236" t="str">
        <f>"610853"</f>
        <v>610853</v>
      </c>
      <c r="E236" t="s">
        <v>19</v>
      </c>
      <c r="F236" t="s">
        <v>211</v>
      </c>
      <c r="G236">
        <v>300</v>
      </c>
      <c r="H236" t="str">
        <f>""</f>
        <v/>
      </c>
      <c r="I236">
        <v>164.26</v>
      </c>
      <c r="J236">
        <v>0</v>
      </c>
      <c r="K236" t="str">
        <f t="shared" si="33"/>
        <v>31000</v>
      </c>
      <c r="L236" t="str">
        <f t="shared" si="32"/>
        <v>0</v>
      </c>
      <c r="M236" t="str">
        <f t="shared" si="32"/>
        <v>0</v>
      </c>
      <c r="N236" t="str">
        <f t="shared" si="32"/>
        <v>0</v>
      </c>
    </row>
    <row r="237" spans="1:14" x14ac:dyDescent="0.3">
      <c r="A237" t="s">
        <v>17</v>
      </c>
      <c r="B237" t="s">
        <v>18</v>
      </c>
      <c r="C237" t="str">
        <f t="shared" ref="C237:C257" si="34">"375"</f>
        <v>375</v>
      </c>
      <c r="D237" t="str">
        <f>"610990"</f>
        <v>610990</v>
      </c>
      <c r="E237" t="s">
        <v>19</v>
      </c>
      <c r="F237" t="s">
        <v>212</v>
      </c>
      <c r="G237">
        <v>300</v>
      </c>
      <c r="H237" t="str">
        <f>"80299"</f>
        <v>80299</v>
      </c>
      <c r="I237">
        <v>135.6</v>
      </c>
      <c r="J237">
        <v>0</v>
      </c>
      <c r="K237" t="str">
        <f t="shared" si="33"/>
        <v>31000</v>
      </c>
      <c r="L237" t="str">
        <f t="shared" si="32"/>
        <v>0</v>
      </c>
      <c r="M237" t="str">
        <f t="shared" si="32"/>
        <v>0</v>
      </c>
      <c r="N237" t="str">
        <f t="shared" si="32"/>
        <v>0</v>
      </c>
    </row>
    <row r="238" spans="1:14" x14ac:dyDescent="0.3">
      <c r="A238" t="s">
        <v>17</v>
      </c>
      <c r="B238" t="s">
        <v>18</v>
      </c>
      <c r="C238" t="str">
        <f t="shared" si="34"/>
        <v>375</v>
      </c>
      <c r="D238" t="str">
        <f>"611198"</f>
        <v>611198</v>
      </c>
      <c r="E238" t="s">
        <v>19</v>
      </c>
      <c r="F238" t="s">
        <v>213</v>
      </c>
      <c r="G238">
        <v>300</v>
      </c>
      <c r="H238" t="str">
        <f>""</f>
        <v/>
      </c>
      <c r="I238" s="1">
        <v>1929</v>
      </c>
      <c r="J238">
        <v>0</v>
      </c>
      <c r="K238" t="str">
        <f t="shared" si="33"/>
        <v>31000</v>
      </c>
      <c r="L238" t="str">
        <f t="shared" si="32"/>
        <v>0</v>
      </c>
      <c r="M238" t="str">
        <f t="shared" si="32"/>
        <v>0</v>
      </c>
      <c r="N238" t="str">
        <f t="shared" si="32"/>
        <v>0</v>
      </c>
    </row>
    <row r="239" spans="1:14" x14ac:dyDescent="0.3">
      <c r="A239" t="s">
        <v>17</v>
      </c>
      <c r="B239" t="s">
        <v>18</v>
      </c>
      <c r="C239" t="str">
        <f t="shared" si="34"/>
        <v>375</v>
      </c>
      <c r="D239" t="str">
        <f>"611533"</f>
        <v>611533</v>
      </c>
      <c r="E239" t="s">
        <v>19</v>
      </c>
      <c r="F239" t="s">
        <v>214</v>
      </c>
      <c r="G239">
        <v>300</v>
      </c>
      <c r="H239" t="str">
        <f>"84436"</f>
        <v>84436</v>
      </c>
      <c r="I239">
        <v>12</v>
      </c>
      <c r="J239">
        <v>0</v>
      </c>
      <c r="K239" t="str">
        <f t="shared" si="33"/>
        <v>31000</v>
      </c>
    </row>
    <row r="240" spans="1:14" x14ac:dyDescent="0.3">
      <c r="A240" t="s">
        <v>17</v>
      </c>
      <c r="B240" t="s">
        <v>18</v>
      </c>
      <c r="C240" t="str">
        <f t="shared" si="34"/>
        <v>375</v>
      </c>
      <c r="D240" t="str">
        <f>"611664"</f>
        <v>611664</v>
      </c>
      <c r="E240" t="s">
        <v>19</v>
      </c>
      <c r="F240" t="s">
        <v>215</v>
      </c>
      <c r="G240">
        <v>300</v>
      </c>
      <c r="H240" t="str">
        <f>""</f>
        <v/>
      </c>
      <c r="I240">
        <v>29.17</v>
      </c>
      <c r="J240">
        <v>0</v>
      </c>
      <c r="K240" t="str">
        <f t="shared" si="33"/>
        <v>31000</v>
      </c>
      <c r="L240" t="str">
        <f t="shared" ref="L240:N241" si="35">"0"</f>
        <v>0</v>
      </c>
      <c r="M240" t="str">
        <f t="shared" si="35"/>
        <v>0</v>
      </c>
      <c r="N240" t="str">
        <f t="shared" si="35"/>
        <v>0</v>
      </c>
    </row>
    <row r="241" spans="1:14" x14ac:dyDescent="0.3">
      <c r="A241" t="s">
        <v>17</v>
      </c>
      <c r="B241" t="s">
        <v>18</v>
      </c>
      <c r="C241" t="str">
        <f t="shared" si="34"/>
        <v>375</v>
      </c>
      <c r="D241" t="str">
        <f>"611665"</f>
        <v>611665</v>
      </c>
      <c r="E241" t="s">
        <v>19</v>
      </c>
      <c r="F241" t="s">
        <v>216</v>
      </c>
      <c r="G241">
        <v>300</v>
      </c>
      <c r="H241" t="str">
        <f>""</f>
        <v/>
      </c>
      <c r="I241">
        <v>29.17</v>
      </c>
      <c r="J241">
        <v>0</v>
      </c>
      <c r="K241" t="str">
        <f t="shared" si="33"/>
        <v>31000</v>
      </c>
      <c r="L241" t="str">
        <f t="shared" si="35"/>
        <v>0</v>
      </c>
      <c r="M241" t="str">
        <f t="shared" si="35"/>
        <v>0</v>
      </c>
      <c r="N241" t="str">
        <f t="shared" si="35"/>
        <v>0</v>
      </c>
    </row>
    <row r="242" spans="1:14" x14ac:dyDescent="0.3">
      <c r="A242" t="s">
        <v>17</v>
      </c>
      <c r="B242" t="s">
        <v>18</v>
      </c>
      <c r="C242" t="str">
        <f t="shared" si="34"/>
        <v>375</v>
      </c>
      <c r="D242" t="str">
        <f>"612156"</f>
        <v>612156</v>
      </c>
      <c r="E242" t="s">
        <v>19</v>
      </c>
      <c r="F242" t="s">
        <v>217</v>
      </c>
      <c r="G242">
        <v>300</v>
      </c>
      <c r="I242">
        <v>47.54</v>
      </c>
      <c r="J242">
        <v>0</v>
      </c>
      <c r="K242" t="str">
        <f t="shared" si="33"/>
        <v>31000</v>
      </c>
    </row>
    <row r="243" spans="1:14" x14ac:dyDescent="0.3">
      <c r="A243" t="s">
        <v>17</v>
      </c>
      <c r="B243" t="s">
        <v>18</v>
      </c>
      <c r="C243" t="str">
        <f t="shared" si="34"/>
        <v>375</v>
      </c>
      <c r="D243" t="str">
        <f>"612158"</f>
        <v>612158</v>
      </c>
      <c r="E243" t="s">
        <v>19</v>
      </c>
      <c r="F243" t="s">
        <v>218</v>
      </c>
      <c r="G243">
        <v>300</v>
      </c>
      <c r="H243" t="str">
        <f>"84703"</f>
        <v>84703</v>
      </c>
      <c r="I243">
        <v>84.84</v>
      </c>
      <c r="J243">
        <v>0</v>
      </c>
      <c r="K243" t="str">
        <f t="shared" si="33"/>
        <v>31000</v>
      </c>
      <c r="L243" t="str">
        <f t="shared" ref="L243:N246" si="36">"0"</f>
        <v>0</v>
      </c>
      <c r="M243" t="str">
        <f t="shared" si="36"/>
        <v>0</v>
      </c>
      <c r="N243" t="str">
        <f t="shared" si="36"/>
        <v>0</v>
      </c>
    </row>
    <row r="244" spans="1:14" x14ac:dyDescent="0.3">
      <c r="A244" t="s">
        <v>17</v>
      </c>
      <c r="B244" t="s">
        <v>18</v>
      </c>
      <c r="C244" t="str">
        <f t="shared" si="34"/>
        <v>375</v>
      </c>
      <c r="D244" t="str">
        <f>"612407"</f>
        <v>612407</v>
      </c>
      <c r="E244" t="s">
        <v>19</v>
      </c>
      <c r="F244" t="s">
        <v>219</v>
      </c>
      <c r="G244">
        <v>300</v>
      </c>
      <c r="H244" t="str">
        <f>""</f>
        <v/>
      </c>
      <c r="I244">
        <v>184.3</v>
      </c>
      <c r="J244">
        <v>0</v>
      </c>
      <c r="K244" t="str">
        <f t="shared" si="33"/>
        <v>31000</v>
      </c>
      <c r="L244" t="str">
        <f t="shared" si="36"/>
        <v>0</v>
      </c>
      <c r="M244" t="str">
        <f t="shared" si="36"/>
        <v>0</v>
      </c>
      <c r="N244" t="str">
        <f t="shared" si="36"/>
        <v>0</v>
      </c>
    </row>
    <row r="245" spans="1:14" x14ac:dyDescent="0.3">
      <c r="A245" t="s">
        <v>17</v>
      </c>
      <c r="B245" t="s">
        <v>18</v>
      </c>
      <c r="C245" t="str">
        <f t="shared" si="34"/>
        <v>375</v>
      </c>
      <c r="D245" t="str">
        <f>"612594"</f>
        <v>612594</v>
      </c>
      <c r="E245" t="s">
        <v>19</v>
      </c>
      <c r="F245" t="s">
        <v>220</v>
      </c>
      <c r="G245">
        <v>300</v>
      </c>
      <c r="H245" t="str">
        <f>""</f>
        <v/>
      </c>
      <c r="I245">
        <v>95.9</v>
      </c>
      <c r="J245">
        <v>0</v>
      </c>
      <c r="K245" t="str">
        <f t="shared" si="33"/>
        <v>31000</v>
      </c>
      <c r="L245" t="str">
        <f t="shared" si="36"/>
        <v>0</v>
      </c>
      <c r="M245" t="str">
        <f t="shared" si="36"/>
        <v>0</v>
      </c>
      <c r="N245" t="str">
        <f t="shared" si="36"/>
        <v>0</v>
      </c>
    </row>
    <row r="246" spans="1:14" x14ac:dyDescent="0.3">
      <c r="A246" t="s">
        <v>17</v>
      </c>
      <c r="B246" t="s">
        <v>18</v>
      </c>
      <c r="C246" t="str">
        <f t="shared" si="34"/>
        <v>375</v>
      </c>
      <c r="D246" t="str">
        <f>"615256"</f>
        <v>615256</v>
      </c>
      <c r="E246" t="s">
        <v>19</v>
      </c>
      <c r="F246" t="s">
        <v>221</v>
      </c>
      <c r="G246">
        <v>300</v>
      </c>
      <c r="H246" t="str">
        <f>""</f>
        <v/>
      </c>
      <c r="I246">
        <v>147.35</v>
      </c>
      <c r="J246">
        <v>0</v>
      </c>
      <c r="K246" t="str">
        <f t="shared" si="33"/>
        <v>31000</v>
      </c>
      <c r="L246" t="str">
        <f t="shared" si="36"/>
        <v>0</v>
      </c>
      <c r="M246" t="str">
        <f t="shared" si="36"/>
        <v>0</v>
      </c>
      <c r="N246" t="str">
        <f t="shared" si="36"/>
        <v>0</v>
      </c>
    </row>
    <row r="247" spans="1:14" x14ac:dyDescent="0.3">
      <c r="A247" t="s">
        <v>17</v>
      </c>
      <c r="B247" t="s">
        <v>18</v>
      </c>
      <c r="C247" t="str">
        <f t="shared" si="34"/>
        <v>375</v>
      </c>
      <c r="D247" t="str">
        <f>"615332"</f>
        <v>615332</v>
      </c>
      <c r="E247" t="s">
        <v>19</v>
      </c>
      <c r="F247" t="s">
        <v>222</v>
      </c>
      <c r="G247">
        <v>300</v>
      </c>
      <c r="H247" t="str">
        <f>"84480"</f>
        <v>84480</v>
      </c>
      <c r="I247">
        <v>30</v>
      </c>
      <c r="J247">
        <v>0</v>
      </c>
      <c r="K247" t="str">
        <f t="shared" si="33"/>
        <v>31000</v>
      </c>
    </row>
    <row r="248" spans="1:14" x14ac:dyDescent="0.3">
      <c r="A248" t="s">
        <v>17</v>
      </c>
      <c r="B248" t="s">
        <v>18</v>
      </c>
      <c r="C248" t="str">
        <f t="shared" si="34"/>
        <v>375</v>
      </c>
      <c r="D248" t="str">
        <f>"618129"</f>
        <v>618129</v>
      </c>
      <c r="E248" t="s">
        <v>19</v>
      </c>
      <c r="F248" t="s">
        <v>223</v>
      </c>
      <c r="G248">
        <v>300</v>
      </c>
      <c r="H248" t="str">
        <f>""</f>
        <v/>
      </c>
      <c r="I248">
        <v>123.75</v>
      </c>
      <c r="J248">
        <v>0</v>
      </c>
      <c r="K248" t="str">
        <f t="shared" si="33"/>
        <v>31000</v>
      </c>
      <c r="L248" t="str">
        <f t="shared" ref="L248:N254" si="37">"0"</f>
        <v>0</v>
      </c>
      <c r="M248" t="str">
        <f t="shared" si="37"/>
        <v>0</v>
      </c>
      <c r="N248" t="str">
        <f t="shared" si="37"/>
        <v>0</v>
      </c>
    </row>
    <row r="249" spans="1:14" x14ac:dyDescent="0.3">
      <c r="A249" t="s">
        <v>17</v>
      </c>
      <c r="B249" t="s">
        <v>18</v>
      </c>
      <c r="C249" t="str">
        <f t="shared" si="34"/>
        <v>375</v>
      </c>
      <c r="D249" t="str">
        <f>"618134"</f>
        <v>618134</v>
      </c>
      <c r="E249" t="s">
        <v>19</v>
      </c>
      <c r="F249" t="s">
        <v>224</v>
      </c>
      <c r="G249">
        <v>300</v>
      </c>
      <c r="H249" t="str">
        <f>""</f>
        <v/>
      </c>
      <c r="I249">
        <v>35.79</v>
      </c>
      <c r="J249">
        <v>0</v>
      </c>
      <c r="K249" t="str">
        <f t="shared" si="33"/>
        <v>31000</v>
      </c>
      <c r="L249" t="str">
        <f t="shared" si="37"/>
        <v>0</v>
      </c>
      <c r="M249" t="str">
        <f t="shared" si="37"/>
        <v>0</v>
      </c>
      <c r="N249" t="str">
        <f t="shared" si="37"/>
        <v>0</v>
      </c>
    </row>
    <row r="250" spans="1:14" x14ac:dyDescent="0.3">
      <c r="A250" t="s">
        <v>17</v>
      </c>
      <c r="B250" t="s">
        <v>18</v>
      </c>
      <c r="C250" t="str">
        <f t="shared" si="34"/>
        <v>375</v>
      </c>
      <c r="D250" t="str">
        <f>"618159"</f>
        <v>618159</v>
      </c>
      <c r="E250" t="s">
        <v>19</v>
      </c>
      <c r="F250" t="s">
        <v>225</v>
      </c>
      <c r="G250">
        <v>300</v>
      </c>
      <c r="H250" t="str">
        <f>""</f>
        <v/>
      </c>
      <c r="I250">
        <v>99</v>
      </c>
      <c r="J250">
        <v>0</v>
      </c>
      <c r="K250" t="str">
        <f t="shared" si="33"/>
        <v>31000</v>
      </c>
      <c r="L250" t="str">
        <f t="shared" si="37"/>
        <v>0</v>
      </c>
      <c r="M250" t="str">
        <f t="shared" si="37"/>
        <v>0</v>
      </c>
      <c r="N250" t="str">
        <f t="shared" si="37"/>
        <v>0</v>
      </c>
    </row>
    <row r="251" spans="1:14" x14ac:dyDescent="0.3">
      <c r="A251" t="s">
        <v>17</v>
      </c>
      <c r="B251" t="s">
        <v>18</v>
      </c>
      <c r="C251" t="str">
        <f t="shared" si="34"/>
        <v>375</v>
      </c>
      <c r="D251" t="str">
        <f>"618798"</f>
        <v>618798</v>
      </c>
      <c r="E251" t="s">
        <v>19</v>
      </c>
      <c r="F251" t="s">
        <v>226</v>
      </c>
      <c r="G251">
        <v>300</v>
      </c>
      <c r="H251" t="str">
        <f>""</f>
        <v/>
      </c>
      <c r="I251">
        <v>165</v>
      </c>
      <c r="J251">
        <v>0</v>
      </c>
      <c r="K251" t="str">
        <f t="shared" si="33"/>
        <v>31000</v>
      </c>
      <c r="L251" t="str">
        <f t="shared" si="37"/>
        <v>0</v>
      </c>
      <c r="M251" t="str">
        <f t="shared" si="37"/>
        <v>0</v>
      </c>
      <c r="N251" t="str">
        <f t="shared" si="37"/>
        <v>0</v>
      </c>
    </row>
    <row r="252" spans="1:14" x14ac:dyDescent="0.3">
      <c r="A252" t="s">
        <v>17</v>
      </c>
      <c r="B252" t="s">
        <v>18</v>
      </c>
      <c r="C252" t="str">
        <f t="shared" si="34"/>
        <v>375</v>
      </c>
      <c r="D252" t="str">
        <f>"621000"</f>
        <v>621000</v>
      </c>
      <c r="E252" t="s">
        <v>19</v>
      </c>
      <c r="F252" t="s">
        <v>227</v>
      </c>
      <c r="G252">
        <v>300</v>
      </c>
      <c r="H252" t="str">
        <f>""</f>
        <v/>
      </c>
      <c r="I252">
        <v>159.44999999999999</v>
      </c>
      <c r="J252">
        <v>0</v>
      </c>
      <c r="K252" t="str">
        <f t="shared" si="33"/>
        <v>31000</v>
      </c>
      <c r="L252" t="str">
        <f t="shared" si="37"/>
        <v>0</v>
      </c>
      <c r="M252" t="str">
        <f t="shared" si="37"/>
        <v>0</v>
      </c>
      <c r="N252" t="str">
        <f t="shared" si="37"/>
        <v>0</v>
      </c>
    </row>
    <row r="253" spans="1:14" x14ac:dyDescent="0.3">
      <c r="A253" t="s">
        <v>17</v>
      </c>
      <c r="B253" t="s">
        <v>18</v>
      </c>
      <c r="C253" t="str">
        <f t="shared" si="34"/>
        <v>375</v>
      </c>
      <c r="D253" t="str">
        <f>"625891"</f>
        <v>625891</v>
      </c>
      <c r="E253" t="s">
        <v>19</v>
      </c>
      <c r="F253" t="s">
        <v>228</v>
      </c>
      <c r="G253">
        <v>300</v>
      </c>
      <c r="H253" t="str">
        <f>""</f>
        <v/>
      </c>
      <c r="I253">
        <v>48.36</v>
      </c>
      <c r="J253">
        <v>0</v>
      </c>
      <c r="K253" t="str">
        <f t="shared" si="33"/>
        <v>31000</v>
      </c>
      <c r="L253" t="str">
        <f t="shared" si="37"/>
        <v>0</v>
      </c>
      <c r="M253" t="str">
        <f t="shared" si="37"/>
        <v>0</v>
      </c>
      <c r="N253" t="str">
        <f t="shared" si="37"/>
        <v>0</v>
      </c>
    </row>
    <row r="254" spans="1:14" x14ac:dyDescent="0.3">
      <c r="A254" t="s">
        <v>17</v>
      </c>
      <c r="B254" t="s">
        <v>18</v>
      </c>
      <c r="C254" t="str">
        <f t="shared" si="34"/>
        <v>375</v>
      </c>
      <c r="D254" t="str">
        <f>"625892"</f>
        <v>625892</v>
      </c>
      <c r="E254" t="s">
        <v>19</v>
      </c>
      <c r="F254" t="s">
        <v>229</v>
      </c>
      <c r="G254">
        <v>300</v>
      </c>
      <c r="H254" t="str">
        <f>"85730"</f>
        <v>85730</v>
      </c>
      <c r="I254">
        <v>52.52</v>
      </c>
      <c r="J254">
        <v>0</v>
      </c>
      <c r="K254" t="str">
        <f t="shared" si="33"/>
        <v>31000</v>
      </c>
      <c r="L254" t="str">
        <f t="shared" si="37"/>
        <v>0</v>
      </c>
      <c r="M254" t="str">
        <f t="shared" si="37"/>
        <v>0</v>
      </c>
      <c r="N254" t="str">
        <f t="shared" si="37"/>
        <v>0</v>
      </c>
    </row>
    <row r="255" spans="1:14" x14ac:dyDescent="0.3">
      <c r="A255" t="s">
        <v>17</v>
      </c>
      <c r="B255" t="s">
        <v>18</v>
      </c>
      <c r="C255" t="str">
        <f t="shared" si="34"/>
        <v>375</v>
      </c>
      <c r="D255" t="str">
        <f>"654321"</f>
        <v>654321</v>
      </c>
      <c r="E255" t="s">
        <v>19</v>
      </c>
      <c r="F255" t="s">
        <v>230</v>
      </c>
      <c r="G255">
        <v>300</v>
      </c>
      <c r="I255">
        <v>154.11000000000001</v>
      </c>
      <c r="J255">
        <v>0</v>
      </c>
      <c r="K255" t="str">
        <f t="shared" si="33"/>
        <v>31000</v>
      </c>
    </row>
    <row r="256" spans="1:14" x14ac:dyDescent="0.3">
      <c r="A256" t="s">
        <v>17</v>
      </c>
      <c r="B256" t="s">
        <v>18</v>
      </c>
      <c r="C256" t="str">
        <f t="shared" si="34"/>
        <v>375</v>
      </c>
      <c r="D256" t="str">
        <f>"697841"</f>
        <v>697841</v>
      </c>
      <c r="E256" t="s">
        <v>19</v>
      </c>
      <c r="F256" t="s">
        <v>231</v>
      </c>
      <c r="G256">
        <v>300</v>
      </c>
      <c r="I256">
        <v>177.73</v>
      </c>
      <c r="J256">
        <v>0</v>
      </c>
      <c r="K256" t="str">
        <f t="shared" si="33"/>
        <v>31000</v>
      </c>
    </row>
    <row r="257" spans="1:14" x14ac:dyDescent="0.3">
      <c r="A257" t="s">
        <v>17</v>
      </c>
      <c r="B257" t="s">
        <v>18</v>
      </c>
      <c r="C257" t="str">
        <f t="shared" si="34"/>
        <v>375</v>
      </c>
      <c r="D257" t="str">
        <f>"91357"</f>
        <v>91357</v>
      </c>
      <c r="E257" t="s">
        <v>19</v>
      </c>
      <c r="F257" t="s">
        <v>232</v>
      </c>
      <c r="G257">
        <v>300</v>
      </c>
      <c r="I257">
        <v>375</v>
      </c>
      <c r="J257">
        <v>0</v>
      </c>
      <c r="K257" t="str">
        <f t="shared" si="33"/>
        <v>31000</v>
      </c>
    </row>
    <row r="258" spans="1:14" x14ac:dyDescent="0.3">
      <c r="A258" t="s">
        <v>17</v>
      </c>
      <c r="B258" t="s">
        <v>18</v>
      </c>
      <c r="C258" t="str">
        <f t="shared" ref="C258:C321" si="38">"400"</f>
        <v>400</v>
      </c>
      <c r="D258" t="str">
        <f>"*610528"</f>
        <v>*610528</v>
      </c>
      <c r="E258" t="s">
        <v>19</v>
      </c>
      <c r="F258" t="s">
        <v>233</v>
      </c>
      <c r="G258">
        <v>250</v>
      </c>
      <c r="H258" t="str">
        <f>""</f>
        <v/>
      </c>
      <c r="I258">
        <v>223.05</v>
      </c>
      <c r="J258">
        <v>0</v>
      </c>
      <c r="K258" t="str">
        <f t="shared" si="33"/>
        <v>31000</v>
      </c>
      <c r="L258" t="str">
        <f t="shared" ref="L258:N264" si="39">"0"</f>
        <v>0</v>
      </c>
      <c r="M258" t="str">
        <f t="shared" si="39"/>
        <v>0</v>
      </c>
      <c r="N258" t="str">
        <f t="shared" si="39"/>
        <v>0</v>
      </c>
    </row>
    <row r="259" spans="1:14" x14ac:dyDescent="0.3">
      <c r="A259" t="s">
        <v>17</v>
      </c>
      <c r="B259" t="s">
        <v>18</v>
      </c>
      <c r="C259" t="str">
        <f t="shared" si="38"/>
        <v>400</v>
      </c>
      <c r="D259" t="str">
        <f>"*612542"</f>
        <v>*612542</v>
      </c>
      <c r="E259" t="s">
        <v>19</v>
      </c>
      <c r="F259" t="s">
        <v>234</v>
      </c>
      <c r="G259">
        <v>250</v>
      </c>
      <c r="H259" t="str">
        <f>""</f>
        <v/>
      </c>
      <c r="I259">
        <v>44.31</v>
      </c>
      <c r="J259">
        <v>0</v>
      </c>
      <c r="K259" t="str">
        <f t="shared" si="33"/>
        <v>31000</v>
      </c>
      <c r="L259" t="str">
        <f t="shared" si="39"/>
        <v>0</v>
      </c>
      <c r="M259" t="str">
        <f t="shared" si="39"/>
        <v>0</v>
      </c>
      <c r="N259" t="str">
        <f t="shared" si="39"/>
        <v>0</v>
      </c>
    </row>
    <row r="260" spans="1:14" x14ac:dyDescent="0.3">
      <c r="A260" t="s">
        <v>17</v>
      </c>
      <c r="B260" t="s">
        <v>18</v>
      </c>
      <c r="C260" t="str">
        <f t="shared" si="38"/>
        <v>400</v>
      </c>
      <c r="D260" t="str">
        <f>"*612584"</f>
        <v>*612584</v>
      </c>
      <c r="E260" t="s">
        <v>19</v>
      </c>
      <c r="F260" t="s">
        <v>235</v>
      </c>
      <c r="G260">
        <v>250</v>
      </c>
      <c r="H260" t="str">
        <f>""</f>
        <v/>
      </c>
      <c r="I260">
        <v>33.869999999999997</v>
      </c>
      <c r="J260">
        <v>0</v>
      </c>
      <c r="K260" t="str">
        <f t="shared" si="33"/>
        <v>31000</v>
      </c>
      <c r="L260" t="str">
        <f t="shared" si="39"/>
        <v>0</v>
      </c>
      <c r="M260" t="str">
        <f t="shared" si="39"/>
        <v>0</v>
      </c>
      <c r="N260" t="str">
        <f t="shared" si="39"/>
        <v>0</v>
      </c>
    </row>
    <row r="261" spans="1:14" x14ac:dyDescent="0.3">
      <c r="A261" t="s">
        <v>17</v>
      </c>
      <c r="B261" t="s">
        <v>18</v>
      </c>
      <c r="C261" t="str">
        <f t="shared" si="38"/>
        <v>400</v>
      </c>
      <c r="D261" t="str">
        <f>"*613490"</f>
        <v>*613490</v>
      </c>
      <c r="E261" t="s">
        <v>19</v>
      </c>
      <c r="F261" t="s">
        <v>236</v>
      </c>
      <c r="G261">
        <v>250</v>
      </c>
      <c r="H261" t="str">
        <f>""</f>
        <v/>
      </c>
      <c r="I261">
        <v>11.25</v>
      </c>
      <c r="J261">
        <v>0</v>
      </c>
      <c r="K261" t="str">
        <f t="shared" si="33"/>
        <v>31000</v>
      </c>
      <c r="L261" t="str">
        <f t="shared" si="39"/>
        <v>0</v>
      </c>
      <c r="M261" t="str">
        <f t="shared" si="39"/>
        <v>0</v>
      </c>
      <c r="N261" t="str">
        <f t="shared" si="39"/>
        <v>0</v>
      </c>
    </row>
    <row r="262" spans="1:14" x14ac:dyDescent="0.3">
      <c r="A262" t="s">
        <v>17</v>
      </c>
      <c r="B262" t="s">
        <v>18</v>
      </c>
      <c r="C262" t="str">
        <f t="shared" si="38"/>
        <v>400</v>
      </c>
      <c r="D262" t="str">
        <f>"*613491"</f>
        <v>*613491</v>
      </c>
      <c r="E262" t="s">
        <v>19</v>
      </c>
      <c r="F262" t="s">
        <v>237</v>
      </c>
      <c r="G262">
        <v>250</v>
      </c>
      <c r="H262" t="str">
        <f>""</f>
        <v/>
      </c>
      <c r="I262">
        <v>39.049999999999997</v>
      </c>
      <c r="J262">
        <v>0</v>
      </c>
      <c r="K262" t="str">
        <f t="shared" si="33"/>
        <v>31000</v>
      </c>
      <c r="L262" t="str">
        <f t="shared" si="39"/>
        <v>0</v>
      </c>
      <c r="M262" t="str">
        <f t="shared" si="39"/>
        <v>0</v>
      </c>
      <c r="N262" t="str">
        <f t="shared" si="39"/>
        <v>0</v>
      </c>
    </row>
    <row r="263" spans="1:14" x14ac:dyDescent="0.3">
      <c r="A263" t="s">
        <v>17</v>
      </c>
      <c r="B263" t="s">
        <v>18</v>
      </c>
      <c r="C263" t="str">
        <f t="shared" si="38"/>
        <v>400</v>
      </c>
      <c r="D263" t="str">
        <f>"*615324"</f>
        <v>*615324</v>
      </c>
      <c r="E263" t="s">
        <v>19</v>
      </c>
      <c r="F263" t="s">
        <v>238</v>
      </c>
      <c r="G263">
        <v>250</v>
      </c>
      <c r="H263" t="str">
        <f>""</f>
        <v/>
      </c>
      <c r="I263">
        <v>12</v>
      </c>
      <c r="J263">
        <v>0</v>
      </c>
      <c r="K263" t="str">
        <f t="shared" si="33"/>
        <v>31000</v>
      </c>
      <c r="L263" t="str">
        <f t="shared" si="39"/>
        <v>0</v>
      </c>
      <c r="M263" t="str">
        <f t="shared" si="39"/>
        <v>0</v>
      </c>
      <c r="N263" t="str">
        <f t="shared" si="39"/>
        <v>0</v>
      </c>
    </row>
    <row r="264" spans="1:14" x14ac:dyDescent="0.3">
      <c r="A264" t="s">
        <v>17</v>
      </c>
      <c r="B264" t="s">
        <v>18</v>
      </c>
      <c r="C264" t="str">
        <f t="shared" si="38"/>
        <v>400</v>
      </c>
      <c r="D264" t="str">
        <f>"600019"</f>
        <v>600019</v>
      </c>
      <c r="E264" t="s">
        <v>19</v>
      </c>
      <c r="F264" t="s">
        <v>239</v>
      </c>
      <c r="G264">
        <v>250</v>
      </c>
      <c r="H264" t="str">
        <f>""</f>
        <v/>
      </c>
      <c r="I264">
        <v>45.36</v>
      </c>
      <c r="J264">
        <v>0</v>
      </c>
      <c r="K264" t="str">
        <f t="shared" si="33"/>
        <v>31000</v>
      </c>
      <c r="L264" t="str">
        <f t="shared" si="39"/>
        <v>0</v>
      </c>
      <c r="M264" t="str">
        <f t="shared" si="39"/>
        <v>0</v>
      </c>
      <c r="N264" t="str">
        <f t="shared" si="39"/>
        <v>0</v>
      </c>
    </row>
    <row r="265" spans="1:14" x14ac:dyDescent="0.3">
      <c r="A265" t="s">
        <v>17</v>
      </c>
      <c r="B265" t="s">
        <v>18</v>
      </c>
      <c r="C265" t="str">
        <f t="shared" si="38"/>
        <v>400</v>
      </c>
      <c r="D265" t="str">
        <f>"600024"</f>
        <v>600024</v>
      </c>
      <c r="E265" t="s">
        <v>19</v>
      </c>
      <c r="F265" t="s">
        <v>240</v>
      </c>
      <c r="G265">
        <v>250</v>
      </c>
      <c r="I265">
        <v>4.5</v>
      </c>
      <c r="J265">
        <v>0</v>
      </c>
      <c r="K265" t="str">
        <f t="shared" si="33"/>
        <v>31000</v>
      </c>
    </row>
    <row r="266" spans="1:14" x14ac:dyDescent="0.3">
      <c r="A266" t="s">
        <v>17</v>
      </c>
      <c r="B266" t="s">
        <v>18</v>
      </c>
      <c r="C266" t="str">
        <f t="shared" si="38"/>
        <v>400</v>
      </c>
      <c r="D266" t="str">
        <f>"600025"</f>
        <v>600025</v>
      </c>
      <c r="E266" t="s">
        <v>19</v>
      </c>
      <c r="F266" t="s">
        <v>241</v>
      </c>
      <c r="G266">
        <v>250</v>
      </c>
      <c r="I266">
        <v>414</v>
      </c>
      <c r="J266">
        <v>0</v>
      </c>
      <c r="K266" t="str">
        <f t="shared" si="33"/>
        <v>31000</v>
      </c>
    </row>
    <row r="267" spans="1:14" x14ac:dyDescent="0.3">
      <c r="A267" t="s">
        <v>17</v>
      </c>
      <c r="B267" t="s">
        <v>18</v>
      </c>
      <c r="C267" t="str">
        <f t="shared" si="38"/>
        <v>400</v>
      </c>
      <c r="D267" t="str">
        <f>"600031"</f>
        <v>600031</v>
      </c>
      <c r="E267" t="s">
        <v>19</v>
      </c>
      <c r="F267" t="s">
        <v>242</v>
      </c>
      <c r="G267">
        <v>250</v>
      </c>
      <c r="I267">
        <v>1</v>
      </c>
      <c r="J267">
        <v>0</v>
      </c>
      <c r="K267" t="str">
        <f t="shared" si="33"/>
        <v>31000</v>
      </c>
    </row>
    <row r="268" spans="1:14" x14ac:dyDescent="0.3">
      <c r="A268" t="s">
        <v>17</v>
      </c>
      <c r="B268" t="s">
        <v>18</v>
      </c>
      <c r="C268" t="str">
        <f t="shared" si="38"/>
        <v>400</v>
      </c>
      <c r="D268" t="str">
        <f>"600034"</f>
        <v>600034</v>
      </c>
      <c r="E268" t="s">
        <v>19</v>
      </c>
      <c r="F268" t="s">
        <v>243</v>
      </c>
      <c r="G268">
        <v>250</v>
      </c>
      <c r="I268">
        <v>1.5</v>
      </c>
      <c r="J268">
        <v>0</v>
      </c>
      <c r="K268" t="str">
        <f t="shared" si="33"/>
        <v>31000</v>
      </c>
    </row>
    <row r="269" spans="1:14" x14ac:dyDescent="0.3">
      <c r="A269" t="s">
        <v>17</v>
      </c>
      <c r="B269" t="s">
        <v>18</v>
      </c>
      <c r="C269" t="str">
        <f t="shared" si="38"/>
        <v>400</v>
      </c>
      <c r="D269" t="str">
        <f>"600125"</f>
        <v>600125</v>
      </c>
      <c r="E269" t="s">
        <v>19</v>
      </c>
      <c r="F269" t="s">
        <v>244</v>
      </c>
      <c r="G269">
        <v>250</v>
      </c>
      <c r="H269" t="str">
        <f>""</f>
        <v/>
      </c>
      <c r="I269">
        <v>3.5</v>
      </c>
      <c r="J269">
        <v>0</v>
      </c>
      <c r="K269" t="str">
        <f t="shared" si="33"/>
        <v>31000</v>
      </c>
      <c r="L269" t="str">
        <f>"0"</f>
        <v>0</v>
      </c>
      <c r="M269" t="str">
        <f>"0"</f>
        <v>0</v>
      </c>
      <c r="N269" t="str">
        <f>"0"</f>
        <v>0</v>
      </c>
    </row>
    <row r="270" spans="1:14" x14ac:dyDescent="0.3">
      <c r="A270" t="s">
        <v>17</v>
      </c>
      <c r="B270" t="s">
        <v>18</v>
      </c>
      <c r="C270" t="str">
        <f t="shared" si="38"/>
        <v>400</v>
      </c>
      <c r="D270" t="str">
        <f>"600131"</f>
        <v>600131</v>
      </c>
      <c r="E270" t="s">
        <v>19</v>
      </c>
      <c r="F270" t="s">
        <v>245</v>
      </c>
      <c r="G270">
        <v>250</v>
      </c>
      <c r="I270">
        <v>4</v>
      </c>
      <c r="J270">
        <v>0</v>
      </c>
      <c r="K270" t="str">
        <f t="shared" si="33"/>
        <v>31000</v>
      </c>
    </row>
    <row r="271" spans="1:14" x14ac:dyDescent="0.3">
      <c r="A271" t="s">
        <v>17</v>
      </c>
      <c r="B271" t="s">
        <v>18</v>
      </c>
      <c r="C271" t="str">
        <f t="shared" si="38"/>
        <v>400</v>
      </c>
      <c r="D271" t="str">
        <f>"600132"</f>
        <v>600132</v>
      </c>
      <c r="E271" t="s">
        <v>19</v>
      </c>
      <c r="F271" t="s">
        <v>246</v>
      </c>
      <c r="G271">
        <v>250</v>
      </c>
      <c r="I271">
        <v>3.5</v>
      </c>
      <c r="J271">
        <v>0</v>
      </c>
      <c r="K271" t="str">
        <f t="shared" si="33"/>
        <v>31000</v>
      </c>
    </row>
    <row r="272" spans="1:14" x14ac:dyDescent="0.3">
      <c r="A272" t="s">
        <v>17</v>
      </c>
      <c r="B272" t="s">
        <v>18</v>
      </c>
      <c r="C272" t="str">
        <f t="shared" si="38"/>
        <v>400</v>
      </c>
      <c r="D272" t="str">
        <f>"600133"</f>
        <v>600133</v>
      </c>
      <c r="E272" t="s">
        <v>19</v>
      </c>
      <c r="F272" t="s">
        <v>247</v>
      </c>
      <c r="G272">
        <v>250</v>
      </c>
      <c r="I272">
        <v>3</v>
      </c>
      <c r="J272">
        <v>0</v>
      </c>
      <c r="K272" t="str">
        <f t="shared" si="33"/>
        <v>31000</v>
      </c>
    </row>
    <row r="273" spans="1:14" x14ac:dyDescent="0.3">
      <c r="A273" t="s">
        <v>17</v>
      </c>
      <c r="B273" t="s">
        <v>18</v>
      </c>
      <c r="C273" t="str">
        <f t="shared" si="38"/>
        <v>400</v>
      </c>
      <c r="D273" t="str">
        <f>"600332"</f>
        <v>600332</v>
      </c>
      <c r="E273" t="s">
        <v>19</v>
      </c>
      <c r="F273" t="s">
        <v>248</v>
      </c>
      <c r="G273">
        <v>250</v>
      </c>
      <c r="H273" t="str">
        <f>""</f>
        <v/>
      </c>
      <c r="I273">
        <v>4.5</v>
      </c>
      <c r="J273">
        <v>0</v>
      </c>
      <c r="K273" t="str">
        <f t="shared" si="33"/>
        <v>31000</v>
      </c>
      <c r="L273" t="str">
        <f t="shared" ref="L273:N277" si="40">"0"</f>
        <v>0</v>
      </c>
      <c r="M273" t="str">
        <f t="shared" si="40"/>
        <v>0</v>
      </c>
      <c r="N273" t="str">
        <f t="shared" si="40"/>
        <v>0</v>
      </c>
    </row>
    <row r="274" spans="1:14" x14ac:dyDescent="0.3">
      <c r="A274" t="s">
        <v>17</v>
      </c>
      <c r="B274" t="s">
        <v>18</v>
      </c>
      <c r="C274" t="str">
        <f t="shared" si="38"/>
        <v>400</v>
      </c>
      <c r="D274" t="str">
        <f>"600369"</f>
        <v>600369</v>
      </c>
      <c r="E274" t="s">
        <v>19</v>
      </c>
      <c r="F274" t="s">
        <v>249</v>
      </c>
      <c r="G274">
        <v>250</v>
      </c>
      <c r="H274" t="str">
        <f>""</f>
        <v/>
      </c>
      <c r="I274">
        <v>33.18</v>
      </c>
      <c r="J274">
        <v>0</v>
      </c>
      <c r="K274" t="str">
        <f t="shared" si="33"/>
        <v>31000</v>
      </c>
      <c r="L274" t="str">
        <f t="shared" si="40"/>
        <v>0</v>
      </c>
      <c r="M274" t="str">
        <f t="shared" si="40"/>
        <v>0</v>
      </c>
      <c r="N274" t="str">
        <f t="shared" si="40"/>
        <v>0</v>
      </c>
    </row>
    <row r="275" spans="1:14" x14ac:dyDescent="0.3">
      <c r="A275" t="s">
        <v>17</v>
      </c>
      <c r="B275" t="s">
        <v>18</v>
      </c>
      <c r="C275" t="str">
        <f t="shared" si="38"/>
        <v>400</v>
      </c>
      <c r="D275" t="str">
        <f>"600603"</f>
        <v>600603</v>
      </c>
      <c r="E275" t="s">
        <v>19</v>
      </c>
      <c r="F275" t="s">
        <v>250</v>
      </c>
      <c r="G275">
        <v>250</v>
      </c>
      <c r="H275" t="str">
        <f>""</f>
        <v/>
      </c>
      <c r="I275">
        <v>66</v>
      </c>
      <c r="J275">
        <v>0</v>
      </c>
      <c r="K275" t="str">
        <f t="shared" si="33"/>
        <v>31000</v>
      </c>
      <c r="L275" t="str">
        <f t="shared" si="40"/>
        <v>0</v>
      </c>
      <c r="M275" t="str">
        <f t="shared" si="40"/>
        <v>0</v>
      </c>
      <c r="N275" t="str">
        <f t="shared" si="40"/>
        <v>0</v>
      </c>
    </row>
    <row r="276" spans="1:14" x14ac:dyDescent="0.3">
      <c r="A276" t="s">
        <v>17</v>
      </c>
      <c r="B276" t="s">
        <v>18</v>
      </c>
      <c r="C276" t="str">
        <f t="shared" si="38"/>
        <v>400</v>
      </c>
      <c r="D276" t="str">
        <f>"601009"</f>
        <v>601009</v>
      </c>
      <c r="E276" t="s">
        <v>19</v>
      </c>
      <c r="F276" t="s">
        <v>251</v>
      </c>
      <c r="G276">
        <v>250</v>
      </c>
      <c r="H276" t="str">
        <f>""</f>
        <v/>
      </c>
      <c r="I276">
        <v>12</v>
      </c>
      <c r="J276">
        <v>0</v>
      </c>
      <c r="K276" t="str">
        <f t="shared" si="33"/>
        <v>31000</v>
      </c>
      <c r="L276" t="str">
        <f t="shared" si="40"/>
        <v>0</v>
      </c>
      <c r="M276" t="str">
        <f t="shared" si="40"/>
        <v>0</v>
      </c>
      <c r="N276" t="str">
        <f t="shared" si="40"/>
        <v>0</v>
      </c>
    </row>
    <row r="277" spans="1:14" x14ac:dyDescent="0.3">
      <c r="A277" t="s">
        <v>17</v>
      </c>
      <c r="B277" t="s">
        <v>18</v>
      </c>
      <c r="C277" t="str">
        <f t="shared" si="38"/>
        <v>400</v>
      </c>
      <c r="D277" t="str">
        <f>"601010"</f>
        <v>601010</v>
      </c>
      <c r="E277" t="s">
        <v>19</v>
      </c>
      <c r="F277" t="s">
        <v>252</v>
      </c>
      <c r="G277">
        <v>250</v>
      </c>
      <c r="H277" t="str">
        <f>""</f>
        <v/>
      </c>
      <c r="I277">
        <v>9.4499999999999993</v>
      </c>
      <c r="J277">
        <v>0</v>
      </c>
      <c r="K277" t="str">
        <f t="shared" si="33"/>
        <v>31000</v>
      </c>
      <c r="L277" t="str">
        <f t="shared" si="40"/>
        <v>0</v>
      </c>
      <c r="M277" t="str">
        <f t="shared" si="40"/>
        <v>0</v>
      </c>
      <c r="N277" t="str">
        <f t="shared" si="40"/>
        <v>0</v>
      </c>
    </row>
    <row r="278" spans="1:14" x14ac:dyDescent="0.3">
      <c r="A278" t="s">
        <v>17</v>
      </c>
      <c r="B278" t="s">
        <v>18</v>
      </c>
      <c r="C278" t="str">
        <f t="shared" si="38"/>
        <v>400</v>
      </c>
      <c r="D278" t="str">
        <f>"601363"</f>
        <v>601363</v>
      </c>
      <c r="E278" t="s">
        <v>19</v>
      </c>
      <c r="F278" t="s">
        <v>253</v>
      </c>
      <c r="G278">
        <v>250</v>
      </c>
      <c r="I278">
        <v>10.89</v>
      </c>
      <c r="J278">
        <v>0</v>
      </c>
      <c r="K278" t="str">
        <f t="shared" si="33"/>
        <v>31000</v>
      </c>
    </row>
    <row r="279" spans="1:14" x14ac:dyDescent="0.3">
      <c r="A279" t="s">
        <v>17</v>
      </c>
      <c r="B279" t="s">
        <v>18</v>
      </c>
      <c r="C279" t="str">
        <f t="shared" si="38"/>
        <v>400</v>
      </c>
      <c r="D279" t="str">
        <f>"601548"</f>
        <v>601548</v>
      </c>
      <c r="E279" t="s">
        <v>19</v>
      </c>
      <c r="F279" t="s">
        <v>254</v>
      </c>
      <c r="G279">
        <v>250</v>
      </c>
      <c r="I279">
        <v>30</v>
      </c>
      <c r="J279">
        <v>0</v>
      </c>
      <c r="K279" t="str">
        <f t="shared" si="33"/>
        <v>31000</v>
      </c>
    </row>
    <row r="280" spans="1:14" x14ac:dyDescent="0.3">
      <c r="A280" t="s">
        <v>17</v>
      </c>
      <c r="B280" t="s">
        <v>18</v>
      </c>
      <c r="C280" t="str">
        <f t="shared" si="38"/>
        <v>400</v>
      </c>
      <c r="D280" t="str">
        <f>"601622"</f>
        <v>601622</v>
      </c>
      <c r="E280" t="s">
        <v>19</v>
      </c>
      <c r="F280" t="s">
        <v>255</v>
      </c>
      <c r="G280">
        <v>250</v>
      </c>
      <c r="I280">
        <v>2</v>
      </c>
      <c r="J280">
        <v>0</v>
      </c>
      <c r="K280" t="str">
        <f t="shared" si="33"/>
        <v>31000</v>
      </c>
    </row>
    <row r="281" spans="1:14" x14ac:dyDescent="0.3">
      <c r="A281" t="s">
        <v>17</v>
      </c>
      <c r="B281" t="s">
        <v>18</v>
      </c>
      <c r="C281" t="str">
        <f t="shared" si="38"/>
        <v>400</v>
      </c>
      <c r="D281" t="str">
        <f>"602123"</f>
        <v>602123</v>
      </c>
      <c r="E281" t="s">
        <v>19</v>
      </c>
      <c r="F281" t="s">
        <v>256</v>
      </c>
      <c r="G281">
        <v>250</v>
      </c>
      <c r="H281" t="str">
        <f>""</f>
        <v/>
      </c>
      <c r="I281">
        <v>35</v>
      </c>
      <c r="J281">
        <v>0</v>
      </c>
      <c r="K281" t="str">
        <f t="shared" si="33"/>
        <v>31000</v>
      </c>
      <c r="L281" t="str">
        <f t="shared" ref="L281:N285" si="41">"0"</f>
        <v>0</v>
      </c>
      <c r="M281" t="str">
        <f t="shared" si="41"/>
        <v>0</v>
      </c>
      <c r="N281" t="str">
        <f t="shared" si="41"/>
        <v>0</v>
      </c>
    </row>
    <row r="282" spans="1:14" x14ac:dyDescent="0.3">
      <c r="A282" t="s">
        <v>17</v>
      </c>
      <c r="B282" t="s">
        <v>18</v>
      </c>
      <c r="C282" t="str">
        <f t="shared" si="38"/>
        <v>400</v>
      </c>
      <c r="D282" t="str">
        <f>"603146"</f>
        <v>603146</v>
      </c>
      <c r="E282" t="s">
        <v>19</v>
      </c>
      <c r="F282" t="s">
        <v>257</v>
      </c>
      <c r="G282">
        <v>250</v>
      </c>
      <c r="H282" t="str">
        <f>""</f>
        <v/>
      </c>
      <c r="I282">
        <v>5.99</v>
      </c>
      <c r="J282">
        <v>0</v>
      </c>
      <c r="K282" t="str">
        <f t="shared" si="33"/>
        <v>31000</v>
      </c>
      <c r="L282" t="str">
        <f t="shared" si="41"/>
        <v>0</v>
      </c>
      <c r="M282" t="str">
        <f t="shared" si="41"/>
        <v>0</v>
      </c>
      <c r="N282" t="str">
        <f t="shared" si="41"/>
        <v>0</v>
      </c>
    </row>
    <row r="283" spans="1:14" x14ac:dyDescent="0.3">
      <c r="A283" t="s">
        <v>17</v>
      </c>
      <c r="B283" t="s">
        <v>18</v>
      </c>
      <c r="C283" t="str">
        <f t="shared" si="38"/>
        <v>400</v>
      </c>
      <c r="D283" t="str">
        <f>"605418"</f>
        <v>605418</v>
      </c>
      <c r="E283" t="s">
        <v>19</v>
      </c>
      <c r="F283" t="s">
        <v>258</v>
      </c>
      <c r="G283">
        <v>250</v>
      </c>
      <c r="H283" t="str">
        <f>""</f>
        <v/>
      </c>
      <c r="I283">
        <v>39</v>
      </c>
      <c r="J283">
        <v>0</v>
      </c>
      <c r="K283" t="str">
        <f t="shared" si="33"/>
        <v>31000</v>
      </c>
      <c r="L283" t="str">
        <f t="shared" si="41"/>
        <v>0</v>
      </c>
      <c r="M283" t="str">
        <f t="shared" si="41"/>
        <v>0</v>
      </c>
      <c r="N283" t="str">
        <f t="shared" si="41"/>
        <v>0</v>
      </c>
    </row>
    <row r="284" spans="1:14" x14ac:dyDescent="0.3">
      <c r="A284" t="s">
        <v>17</v>
      </c>
      <c r="B284" t="s">
        <v>18</v>
      </c>
      <c r="C284" t="str">
        <f t="shared" si="38"/>
        <v>400</v>
      </c>
      <c r="D284" t="str">
        <f>"609098"</f>
        <v>609098</v>
      </c>
      <c r="E284" t="s">
        <v>19</v>
      </c>
      <c r="F284" t="s">
        <v>259</v>
      </c>
      <c r="G284">
        <v>250</v>
      </c>
      <c r="H284" t="str">
        <f>""</f>
        <v/>
      </c>
      <c r="I284">
        <v>14.86</v>
      </c>
      <c r="J284">
        <v>0</v>
      </c>
      <c r="K284" t="str">
        <f t="shared" si="33"/>
        <v>31000</v>
      </c>
      <c r="L284" t="str">
        <f t="shared" si="41"/>
        <v>0</v>
      </c>
      <c r="M284" t="str">
        <f t="shared" si="41"/>
        <v>0</v>
      </c>
      <c r="N284" t="str">
        <f t="shared" si="41"/>
        <v>0</v>
      </c>
    </row>
    <row r="285" spans="1:14" x14ac:dyDescent="0.3">
      <c r="A285" t="s">
        <v>17</v>
      </c>
      <c r="B285" t="s">
        <v>18</v>
      </c>
      <c r="C285" t="str">
        <f t="shared" si="38"/>
        <v>400</v>
      </c>
      <c r="D285" t="str">
        <f>"610001"</f>
        <v>610001</v>
      </c>
      <c r="E285" t="s">
        <v>19</v>
      </c>
      <c r="F285" t="s">
        <v>260</v>
      </c>
      <c r="G285">
        <v>250</v>
      </c>
      <c r="H285" t="str">
        <f>""</f>
        <v/>
      </c>
      <c r="I285">
        <v>18</v>
      </c>
      <c r="J285">
        <v>0</v>
      </c>
      <c r="K285" t="str">
        <f t="shared" si="33"/>
        <v>31000</v>
      </c>
      <c r="L285" t="str">
        <f t="shared" si="41"/>
        <v>0</v>
      </c>
      <c r="M285" t="str">
        <f t="shared" si="41"/>
        <v>0</v>
      </c>
      <c r="N285" t="str">
        <f t="shared" si="41"/>
        <v>0</v>
      </c>
    </row>
    <row r="286" spans="1:14" x14ac:dyDescent="0.3">
      <c r="A286" t="s">
        <v>17</v>
      </c>
      <c r="B286" t="s">
        <v>18</v>
      </c>
      <c r="C286" t="str">
        <f t="shared" si="38"/>
        <v>400</v>
      </c>
      <c r="D286" t="str">
        <f>"610003"</f>
        <v>610003</v>
      </c>
      <c r="E286" t="s">
        <v>19</v>
      </c>
      <c r="F286" t="s">
        <v>261</v>
      </c>
      <c r="G286">
        <v>250</v>
      </c>
      <c r="I286">
        <v>3</v>
      </c>
      <c r="J286">
        <v>0</v>
      </c>
      <c r="K286" t="str">
        <f t="shared" si="33"/>
        <v>31000</v>
      </c>
    </row>
    <row r="287" spans="1:14" x14ac:dyDescent="0.3">
      <c r="A287" t="s">
        <v>17</v>
      </c>
      <c r="B287" t="s">
        <v>18</v>
      </c>
      <c r="C287" t="str">
        <f t="shared" si="38"/>
        <v>400</v>
      </c>
      <c r="D287" t="str">
        <f>"610005"</f>
        <v>610005</v>
      </c>
      <c r="E287" t="s">
        <v>19</v>
      </c>
      <c r="F287" t="s">
        <v>262</v>
      </c>
      <c r="G287">
        <v>250</v>
      </c>
      <c r="I287">
        <v>0</v>
      </c>
      <c r="J287">
        <v>0</v>
      </c>
      <c r="K287" t="str">
        <f t="shared" si="33"/>
        <v>31000</v>
      </c>
    </row>
    <row r="288" spans="1:14" x14ac:dyDescent="0.3">
      <c r="A288" t="s">
        <v>17</v>
      </c>
      <c r="B288" t="s">
        <v>18</v>
      </c>
      <c r="C288" t="str">
        <f t="shared" si="38"/>
        <v>400</v>
      </c>
      <c r="D288" t="str">
        <f>"610006"</f>
        <v>610006</v>
      </c>
      <c r="E288" t="s">
        <v>19</v>
      </c>
      <c r="F288" t="s">
        <v>263</v>
      </c>
      <c r="G288">
        <v>250</v>
      </c>
      <c r="H288" t="str">
        <f>""</f>
        <v/>
      </c>
      <c r="I288">
        <v>4</v>
      </c>
      <c r="J288">
        <v>0</v>
      </c>
      <c r="K288" t="str">
        <f t="shared" si="33"/>
        <v>31000</v>
      </c>
      <c r="L288" t="str">
        <f t="shared" ref="L288:N290" si="42">"0"</f>
        <v>0</v>
      </c>
      <c r="M288" t="str">
        <f t="shared" si="42"/>
        <v>0</v>
      </c>
      <c r="N288" t="str">
        <f t="shared" si="42"/>
        <v>0</v>
      </c>
    </row>
    <row r="289" spans="1:15" x14ac:dyDescent="0.3">
      <c r="A289" t="s">
        <v>17</v>
      </c>
      <c r="B289" t="s">
        <v>18</v>
      </c>
      <c r="C289" t="str">
        <f t="shared" si="38"/>
        <v>400</v>
      </c>
      <c r="D289" t="str">
        <f>"610007"</f>
        <v>610007</v>
      </c>
      <c r="E289" t="s">
        <v>19</v>
      </c>
      <c r="F289" t="s">
        <v>264</v>
      </c>
      <c r="G289">
        <v>250</v>
      </c>
      <c r="H289" t="str">
        <f>""</f>
        <v/>
      </c>
      <c r="I289">
        <v>2.5</v>
      </c>
      <c r="J289">
        <v>0</v>
      </c>
      <c r="K289" t="str">
        <f t="shared" si="33"/>
        <v>31000</v>
      </c>
      <c r="L289" t="str">
        <f t="shared" si="42"/>
        <v>0</v>
      </c>
      <c r="M289" t="str">
        <f t="shared" si="42"/>
        <v>0</v>
      </c>
      <c r="N289" t="str">
        <f t="shared" si="42"/>
        <v>0</v>
      </c>
    </row>
    <row r="290" spans="1:15" x14ac:dyDescent="0.3">
      <c r="A290" t="s">
        <v>17</v>
      </c>
      <c r="B290" t="s">
        <v>18</v>
      </c>
      <c r="C290" t="str">
        <f t="shared" si="38"/>
        <v>400</v>
      </c>
      <c r="D290" t="str">
        <f>"610009"</f>
        <v>610009</v>
      </c>
      <c r="E290" t="s">
        <v>19</v>
      </c>
      <c r="F290" t="s">
        <v>265</v>
      </c>
      <c r="G290">
        <v>250</v>
      </c>
      <c r="H290" t="str">
        <f>""</f>
        <v/>
      </c>
      <c r="I290">
        <v>4.5</v>
      </c>
      <c r="J290">
        <v>0</v>
      </c>
      <c r="K290" t="str">
        <f t="shared" si="33"/>
        <v>31000</v>
      </c>
      <c r="L290" t="str">
        <f t="shared" si="42"/>
        <v>0</v>
      </c>
      <c r="M290" t="str">
        <f t="shared" si="42"/>
        <v>0</v>
      </c>
      <c r="N290" t="str">
        <f t="shared" si="42"/>
        <v>0</v>
      </c>
    </row>
    <row r="291" spans="1:15" x14ac:dyDescent="0.3">
      <c r="A291" t="s">
        <v>17</v>
      </c>
      <c r="B291" t="s">
        <v>18</v>
      </c>
      <c r="C291" t="str">
        <f t="shared" si="38"/>
        <v>400</v>
      </c>
      <c r="D291" t="str">
        <f>"610019"</f>
        <v>610019</v>
      </c>
      <c r="E291" t="s">
        <v>19</v>
      </c>
      <c r="F291" t="s">
        <v>266</v>
      </c>
      <c r="G291">
        <v>250</v>
      </c>
      <c r="I291">
        <v>3.5</v>
      </c>
      <c r="J291">
        <v>0</v>
      </c>
      <c r="K291" t="str">
        <f t="shared" si="33"/>
        <v>31000</v>
      </c>
    </row>
    <row r="292" spans="1:15" x14ac:dyDescent="0.3">
      <c r="A292" t="s">
        <v>17</v>
      </c>
      <c r="B292" t="s">
        <v>18</v>
      </c>
      <c r="C292" t="str">
        <f t="shared" si="38"/>
        <v>400</v>
      </c>
      <c r="D292" t="str">
        <f>"610020"</f>
        <v>610020</v>
      </c>
      <c r="E292" t="s">
        <v>19</v>
      </c>
      <c r="F292" t="s">
        <v>267</v>
      </c>
      <c r="G292">
        <v>250</v>
      </c>
      <c r="H292" t="str">
        <f>""</f>
        <v/>
      </c>
      <c r="I292">
        <v>4.5</v>
      </c>
      <c r="J292">
        <v>0</v>
      </c>
      <c r="K292" t="str">
        <f t="shared" si="33"/>
        <v>31000</v>
      </c>
      <c r="L292" t="str">
        <f>"0"</f>
        <v>0</v>
      </c>
      <c r="M292" t="str">
        <f>"0"</f>
        <v>0</v>
      </c>
      <c r="N292" t="str">
        <f>"0"</f>
        <v>0</v>
      </c>
    </row>
    <row r="293" spans="1:15" x14ac:dyDescent="0.3">
      <c r="A293" t="s">
        <v>17</v>
      </c>
      <c r="B293" t="s">
        <v>18</v>
      </c>
      <c r="C293" t="str">
        <f t="shared" si="38"/>
        <v>400</v>
      </c>
      <c r="D293" t="str">
        <f>"610021"</f>
        <v>610021</v>
      </c>
      <c r="E293" t="s">
        <v>19</v>
      </c>
      <c r="F293" t="s">
        <v>268</v>
      </c>
      <c r="G293">
        <v>250</v>
      </c>
      <c r="I293">
        <v>12.5</v>
      </c>
      <c r="J293">
        <v>0</v>
      </c>
      <c r="K293" t="str">
        <f t="shared" si="33"/>
        <v>31000</v>
      </c>
      <c r="O293">
        <v>400</v>
      </c>
    </row>
    <row r="294" spans="1:15" x14ac:dyDescent="0.3">
      <c r="A294" t="s">
        <v>17</v>
      </c>
      <c r="B294" t="s">
        <v>18</v>
      </c>
      <c r="C294" t="str">
        <f t="shared" si="38"/>
        <v>400</v>
      </c>
      <c r="D294" t="str">
        <f>"610031"</f>
        <v>610031</v>
      </c>
      <c r="E294" t="s">
        <v>19</v>
      </c>
      <c r="F294" t="s">
        <v>269</v>
      </c>
      <c r="G294">
        <v>250</v>
      </c>
      <c r="I294">
        <v>17.010000000000002</v>
      </c>
      <c r="J294">
        <v>0</v>
      </c>
      <c r="K294" t="str">
        <f t="shared" si="33"/>
        <v>31000</v>
      </c>
    </row>
    <row r="295" spans="1:15" x14ac:dyDescent="0.3">
      <c r="A295" t="s">
        <v>17</v>
      </c>
      <c r="B295" t="s">
        <v>18</v>
      </c>
      <c r="C295" t="str">
        <f t="shared" si="38"/>
        <v>400</v>
      </c>
      <c r="D295" t="str">
        <f>"610045"</f>
        <v>610045</v>
      </c>
      <c r="E295" t="s">
        <v>19</v>
      </c>
      <c r="F295" t="s">
        <v>270</v>
      </c>
      <c r="G295">
        <v>250</v>
      </c>
      <c r="H295" t="str">
        <f>""</f>
        <v/>
      </c>
      <c r="I295">
        <v>12.75</v>
      </c>
      <c r="J295">
        <v>0</v>
      </c>
      <c r="K295" t="str">
        <f t="shared" si="33"/>
        <v>31000</v>
      </c>
      <c r="L295" t="str">
        <f t="shared" ref="L295:N300" si="43">"0"</f>
        <v>0</v>
      </c>
      <c r="M295" t="str">
        <f t="shared" si="43"/>
        <v>0</v>
      </c>
      <c r="N295" t="str">
        <f t="shared" si="43"/>
        <v>0</v>
      </c>
    </row>
    <row r="296" spans="1:15" x14ac:dyDescent="0.3">
      <c r="A296" t="s">
        <v>17</v>
      </c>
      <c r="B296" t="s">
        <v>18</v>
      </c>
      <c r="C296" t="str">
        <f t="shared" si="38"/>
        <v>400</v>
      </c>
      <c r="D296" t="str">
        <f>"610099"</f>
        <v>610099</v>
      </c>
      <c r="E296" t="s">
        <v>19</v>
      </c>
      <c r="F296" t="s">
        <v>271</v>
      </c>
      <c r="G296">
        <v>250</v>
      </c>
      <c r="H296" t="str">
        <f>""</f>
        <v/>
      </c>
      <c r="I296">
        <v>4.5</v>
      </c>
      <c r="J296">
        <v>0</v>
      </c>
      <c r="K296" t="str">
        <f t="shared" si="33"/>
        <v>31000</v>
      </c>
      <c r="L296" t="str">
        <f t="shared" si="43"/>
        <v>0</v>
      </c>
      <c r="M296" t="str">
        <f t="shared" si="43"/>
        <v>0</v>
      </c>
      <c r="N296" t="str">
        <f t="shared" si="43"/>
        <v>0</v>
      </c>
    </row>
    <row r="297" spans="1:15" x14ac:dyDescent="0.3">
      <c r="A297" t="s">
        <v>17</v>
      </c>
      <c r="B297" t="s">
        <v>18</v>
      </c>
      <c r="C297" t="str">
        <f t="shared" si="38"/>
        <v>400</v>
      </c>
      <c r="D297" t="str">
        <f>"610100"</f>
        <v>610100</v>
      </c>
      <c r="E297" t="s">
        <v>19</v>
      </c>
      <c r="F297" t="s">
        <v>272</v>
      </c>
      <c r="G297">
        <v>250</v>
      </c>
      <c r="H297" t="str">
        <f>""</f>
        <v/>
      </c>
      <c r="I297">
        <v>2.5</v>
      </c>
      <c r="J297">
        <v>0</v>
      </c>
      <c r="K297" t="str">
        <f t="shared" si="33"/>
        <v>31000</v>
      </c>
      <c r="L297" t="str">
        <f t="shared" si="43"/>
        <v>0</v>
      </c>
      <c r="M297" t="str">
        <f t="shared" si="43"/>
        <v>0</v>
      </c>
      <c r="N297" t="str">
        <f t="shared" si="43"/>
        <v>0</v>
      </c>
    </row>
    <row r="298" spans="1:15" x14ac:dyDescent="0.3">
      <c r="A298" t="s">
        <v>17</v>
      </c>
      <c r="B298" t="s">
        <v>18</v>
      </c>
      <c r="C298" t="str">
        <f t="shared" si="38"/>
        <v>400</v>
      </c>
      <c r="D298" t="str">
        <f>"610102"</f>
        <v>610102</v>
      </c>
      <c r="E298" t="s">
        <v>19</v>
      </c>
      <c r="F298" t="s">
        <v>273</v>
      </c>
      <c r="G298">
        <v>250</v>
      </c>
      <c r="H298" t="str">
        <f>""</f>
        <v/>
      </c>
      <c r="I298">
        <v>4.5</v>
      </c>
      <c r="J298">
        <v>0</v>
      </c>
      <c r="K298" t="str">
        <f t="shared" si="33"/>
        <v>31000</v>
      </c>
      <c r="L298" t="str">
        <f t="shared" si="43"/>
        <v>0</v>
      </c>
      <c r="M298" t="str">
        <f t="shared" si="43"/>
        <v>0</v>
      </c>
      <c r="N298" t="str">
        <f t="shared" si="43"/>
        <v>0</v>
      </c>
    </row>
    <row r="299" spans="1:15" x14ac:dyDescent="0.3">
      <c r="A299" t="s">
        <v>17</v>
      </c>
      <c r="B299" t="s">
        <v>18</v>
      </c>
      <c r="C299" t="str">
        <f t="shared" si="38"/>
        <v>400</v>
      </c>
      <c r="D299" t="str">
        <f>"610103"</f>
        <v>610103</v>
      </c>
      <c r="E299" t="s">
        <v>19</v>
      </c>
      <c r="F299" t="s">
        <v>274</v>
      </c>
      <c r="G299">
        <v>250</v>
      </c>
      <c r="H299" t="str">
        <f>""</f>
        <v/>
      </c>
      <c r="I299">
        <v>3.5</v>
      </c>
      <c r="J299">
        <v>0</v>
      </c>
      <c r="K299" t="str">
        <f t="shared" ref="K299:K362" si="44">"31000"</f>
        <v>31000</v>
      </c>
      <c r="L299" t="str">
        <f t="shared" si="43"/>
        <v>0</v>
      </c>
      <c r="M299" t="str">
        <f t="shared" si="43"/>
        <v>0</v>
      </c>
      <c r="N299" t="str">
        <f t="shared" si="43"/>
        <v>0</v>
      </c>
    </row>
    <row r="300" spans="1:15" x14ac:dyDescent="0.3">
      <c r="A300" t="s">
        <v>17</v>
      </c>
      <c r="B300" t="s">
        <v>18</v>
      </c>
      <c r="C300" t="str">
        <f t="shared" si="38"/>
        <v>400</v>
      </c>
      <c r="D300" t="str">
        <f>"610106"</f>
        <v>610106</v>
      </c>
      <c r="E300" t="s">
        <v>19</v>
      </c>
      <c r="F300" t="s">
        <v>275</v>
      </c>
      <c r="G300">
        <v>250</v>
      </c>
      <c r="H300" t="str">
        <f>""</f>
        <v/>
      </c>
      <c r="I300">
        <v>3.5</v>
      </c>
      <c r="J300">
        <v>0</v>
      </c>
      <c r="K300" t="str">
        <f t="shared" si="44"/>
        <v>31000</v>
      </c>
      <c r="L300" t="str">
        <f t="shared" si="43"/>
        <v>0</v>
      </c>
      <c r="M300" t="str">
        <f t="shared" si="43"/>
        <v>0</v>
      </c>
      <c r="N300" t="str">
        <f t="shared" si="43"/>
        <v>0</v>
      </c>
    </row>
    <row r="301" spans="1:15" x14ac:dyDescent="0.3">
      <c r="A301" t="s">
        <v>17</v>
      </c>
      <c r="B301" t="s">
        <v>18</v>
      </c>
      <c r="C301" t="str">
        <f t="shared" si="38"/>
        <v>400</v>
      </c>
      <c r="D301" t="str">
        <f>"610112"</f>
        <v>610112</v>
      </c>
      <c r="E301" t="s">
        <v>19</v>
      </c>
      <c r="F301" t="s">
        <v>276</v>
      </c>
      <c r="G301">
        <v>250</v>
      </c>
      <c r="I301">
        <v>16.5</v>
      </c>
      <c r="J301">
        <v>0</v>
      </c>
      <c r="K301" t="str">
        <f t="shared" si="44"/>
        <v>31000</v>
      </c>
    </row>
    <row r="302" spans="1:15" x14ac:dyDescent="0.3">
      <c r="A302" t="s">
        <v>17</v>
      </c>
      <c r="B302" t="s">
        <v>18</v>
      </c>
      <c r="C302" t="str">
        <f t="shared" si="38"/>
        <v>400</v>
      </c>
      <c r="D302" t="str">
        <f>"610123"</f>
        <v>610123</v>
      </c>
      <c r="E302" t="s">
        <v>19</v>
      </c>
      <c r="F302" t="s">
        <v>277</v>
      </c>
      <c r="G302">
        <v>250</v>
      </c>
      <c r="H302" t="str">
        <f>""</f>
        <v/>
      </c>
      <c r="I302">
        <v>6.5</v>
      </c>
      <c r="J302">
        <v>0</v>
      </c>
      <c r="K302" t="str">
        <f t="shared" si="44"/>
        <v>31000</v>
      </c>
      <c r="L302" t="str">
        <f t="shared" ref="L302:N309" si="45">"0"</f>
        <v>0</v>
      </c>
      <c r="M302" t="str">
        <f t="shared" si="45"/>
        <v>0</v>
      </c>
      <c r="N302" t="str">
        <f t="shared" si="45"/>
        <v>0</v>
      </c>
    </row>
    <row r="303" spans="1:15" x14ac:dyDescent="0.3">
      <c r="A303" t="s">
        <v>17</v>
      </c>
      <c r="B303" t="s">
        <v>18</v>
      </c>
      <c r="C303" t="str">
        <f t="shared" si="38"/>
        <v>400</v>
      </c>
      <c r="D303" t="str">
        <f>"610124"</f>
        <v>610124</v>
      </c>
      <c r="E303" t="s">
        <v>19</v>
      </c>
      <c r="F303" t="s">
        <v>278</v>
      </c>
      <c r="G303">
        <v>250</v>
      </c>
      <c r="H303" t="str">
        <f>""</f>
        <v/>
      </c>
      <c r="I303">
        <v>4.5</v>
      </c>
      <c r="J303">
        <v>0</v>
      </c>
      <c r="K303" t="str">
        <f t="shared" si="44"/>
        <v>31000</v>
      </c>
      <c r="L303" t="str">
        <f t="shared" si="45"/>
        <v>0</v>
      </c>
      <c r="M303" t="str">
        <f t="shared" si="45"/>
        <v>0</v>
      </c>
      <c r="N303" t="str">
        <f t="shared" si="45"/>
        <v>0</v>
      </c>
    </row>
    <row r="304" spans="1:15" x14ac:dyDescent="0.3">
      <c r="A304" t="s">
        <v>17</v>
      </c>
      <c r="B304" t="s">
        <v>18</v>
      </c>
      <c r="C304" t="str">
        <f t="shared" si="38"/>
        <v>400</v>
      </c>
      <c r="D304" t="str">
        <f>"610126"</f>
        <v>610126</v>
      </c>
      <c r="E304" t="s">
        <v>19</v>
      </c>
      <c r="F304" t="s">
        <v>279</v>
      </c>
      <c r="G304">
        <v>250</v>
      </c>
      <c r="H304" t="str">
        <f>""</f>
        <v/>
      </c>
      <c r="I304">
        <v>4.5</v>
      </c>
      <c r="J304">
        <v>0</v>
      </c>
      <c r="K304" t="str">
        <f t="shared" si="44"/>
        <v>31000</v>
      </c>
      <c r="L304" t="str">
        <f t="shared" si="45"/>
        <v>0</v>
      </c>
      <c r="M304" t="str">
        <f t="shared" si="45"/>
        <v>0</v>
      </c>
      <c r="N304" t="str">
        <f t="shared" si="45"/>
        <v>0</v>
      </c>
    </row>
    <row r="305" spans="1:14" x14ac:dyDescent="0.3">
      <c r="A305" t="s">
        <v>17</v>
      </c>
      <c r="B305" t="s">
        <v>18</v>
      </c>
      <c r="C305" t="str">
        <f t="shared" si="38"/>
        <v>400</v>
      </c>
      <c r="D305" t="str">
        <f>"610127"</f>
        <v>610127</v>
      </c>
      <c r="E305" t="s">
        <v>19</v>
      </c>
      <c r="F305" t="s">
        <v>280</v>
      </c>
      <c r="G305">
        <v>250</v>
      </c>
      <c r="H305" t="str">
        <f>""</f>
        <v/>
      </c>
      <c r="I305">
        <v>4.5</v>
      </c>
      <c r="J305">
        <v>0</v>
      </c>
      <c r="K305" t="str">
        <f t="shared" si="44"/>
        <v>31000</v>
      </c>
      <c r="L305" t="str">
        <f t="shared" si="45"/>
        <v>0</v>
      </c>
      <c r="M305" t="str">
        <f t="shared" si="45"/>
        <v>0</v>
      </c>
      <c r="N305" t="str">
        <f t="shared" si="45"/>
        <v>0</v>
      </c>
    </row>
    <row r="306" spans="1:14" x14ac:dyDescent="0.3">
      <c r="A306" t="s">
        <v>17</v>
      </c>
      <c r="B306" t="s">
        <v>18</v>
      </c>
      <c r="C306" t="str">
        <f t="shared" si="38"/>
        <v>400</v>
      </c>
      <c r="D306" t="str">
        <f>"610129"</f>
        <v>610129</v>
      </c>
      <c r="E306" t="s">
        <v>19</v>
      </c>
      <c r="F306" t="s">
        <v>281</v>
      </c>
      <c r="G306">
        <v>250</v>
      </c>
      <c r="H306" t="str">
        <f>""</f>
        <v/>
      </c>
      <c r="I306">
        <v>4.5</v>
      </c>
      <c r="J306">
        <v>0</v>
      </c>
      <c r="K306" t="str">
        <f t="shared" si="44"/>
        <v>31000</v>
      </c>
      <c r="L306" t="str">
        <f t="shared" si="45"/>
        <v>0</v>
      </c>
      <c r="M306" t="str">
        <f t="shared" si="45"/>
        <v>0</v>
      </c>
      <c r="N306" t="str">
        <f t="shared" si="45"/>
        <v>0</v>
      </c>
    </row>
    <row r="307" spans="1:14" x14ac:dyDescent="0.3">
      <c r="A307" t="s">
        <v>17</v>
      </c>
      <c r="B307" t="s">
        <v>18</v>
      </c>
      <c r="C307" t="str">
        <f t="shared" si="38"/>
        <v>400</v>
      </c>
      <c r="D307" t="str">
        <f>"610130"</f>
        <v>610130</v>
      </c>
      <c r="E307" t="s">
        <v>19</v>
      </c>
      <c r="F307" t="s">
        <v>282</v>
      </c>
      <c r="G307">
        <v>250</v>
      </c>
      <c r="H307" t="str">
        <f>""</f>
        <v/>
      </c>
      <c r="I307">
        <v>60</v>
      </c>
      <c r="J307">
        <v>0</v>
      </c>
      <c r="K307" t="str">
        <f t="shared" si="44"/>
        <v>31000</v>
      </c>
      <c r="L307" t="str">
        <f t="shared" si="45"/>
        <v>0</v>
      </c>
      <c r="M307" t="str">
        <f t="shared" si="45"/>
        <v>0</v>
      </c>
      <c r="N307" t="str">
        <f t="shared" si="45"/>
        <v>0</v>
      </c>
    </row>
    <row r="308" spans="1:14" x14ac:dyDescent="0.3">
      <c r="A308" t="s">
        <v>17</v>
      </c>
      <c r="B308" t="s">
        <v>18</v>
      </c>
      <c r="C308" t="str">
        <f t="shared" si="38"/>
        <v>400</v>
      </c>
      <c r="D308" t="str">
        <f>"610154"</f>
        <v>610154</v>
      </c>
      <c r="E308" t="s">
        <v>19</v>
      </c>
      <c r="F308" t="s">
        <v>283</v>
      </c>
      <c r="G308">
        <v>250</v>
      </c>
      <c r="H308" t="str">
        <f>""</f>
        <v/>
      </c>
      <c r="I308">
        <v>25.16</v>
      </c>
      <c r="J308">
        <v>0</v>
      </c>
      <c r="K308" t="str">
        <f t="shared" si="44"/>
        <v>31000</v>
      </c>
      <c r="L308" t="str">
        <f t="shared" si="45"/>
        <v>0</v>
      </c>
      <c r="M308" t="str">
        <f t="shared" si="45"/>
        <v>0</v>
      </c>
      <c r="N308" t="str">
        <f t="shared" si="45"/>
        <v>0</v>
      </c>
    </row>
    <row r="309" spans="1:14" x14ac:dyDescent="0.3">
      <c r="A309" t="s">
        <v>17</v>
      </c>
      <c r="B309" t="s">
        <v>18</v>
      </c>
      <c r="C309" t="str">
        <f t="shared" si="38"/>
        <v>400</v>
      </c>
      <c r="D309" t="str">
        <f>"610155"</f>
        <v>610155</v>
      </c>
      <c r="E309" t="s">
        <v>19</v>
      </c>
      <c r="F309" t="s">
        <v>284</v>
      </c>
      <c r="G309">
        <v>250</v>
      </c>
      <c r="H309" t="str">
        <f>""</f>
        <v/>
      </c>
      <c r="I309">
        <v>27.94</v>
      </c>
      <c r="J309">
        <v>0</v>
      </c>
      <c r="K309" t="str">
        <f t="shared" si="44"/>
        <v>31000</v>
      </c>
      <c r="L309" t="str">
        <f t="shared" si="45"/>
        <v>0</v>
      </c>
      <c r="M309" t="str">
        <f t="shared" si="45"/>
        <v>0</v>
      </c>
      <c r="N309" t="str">
        <f t="shared" si="45"/>
        <v>0</v>
      </c>
    </row>
    <row r="310" spans="1:14" x14ac:dyDescent="0.3">
      <c r="A310" t="s">
        <v>17</v>
      </c>
      <c r="B310" t="s">
        <v>18</v>
      </c>
      <c r="C310" t="str">
        <f t="shared" si="38"/>
        <v>400</v>
      </c>
      <c r="D310" t="str">
        <f>"610156"</f>
        <v>610156</v>
      </c>
      <c r="E310" t="s">
        <v>19</v>
      </c>
      <c r="F310" t="s">
        <v>285</v>
      </c>
      <c r="G310">
        <v>250</v>
      </c>
      <c r="I310">
        <v>81.42</v>
      </c>
      <c r="J310">
        <v>0</v>
      </c>
      <c r="K310" t="str">
        <f t="shared" si="44"/>
        <v>31000</v>
      </c>
    </row>
    <row r="311" spans="1:14" x14ac:dyDescent="0.3">
      <c r="A311" t="s">
        <v>17</v>
      </c>
      <c r="B311" t="s">
        <v>18</v>
      </c>
      <c r="C311" t="str">
        <f t="shared" si="38"/>
        <v>400</v>
      </c>
      <c r="D311" t="str">
        <f>"610181"</f>
        <v>610181</v>
      </c>
      <c r="E311" t="s">
        <v>19</v>
      </c>
      <c r="F311" t="s">
        <v>286</v>
      </c>
      <c r="G311">
        <v>250</v>
      </c>
      <c r="H311" t="str">
        <f>""</f>
        <v/>
      </c>
      <c r="I311">
        <v>15.42</v>
      </c>
      <c r="J311">
        <v>0</v>
      </c>
      <c r="K311" t="str">
        <f t="shared" si="44"/>
        <v>31000</v>
      </c>
      <c r="L311" t="str">
        <f t="shared" ref="L311:N314" si="46">"0"</f>
        <v>0</v>
      </c>
      <c r="M311" t="str">
        <f t="shared" si="46"/>
        <v>0</v>
      </c>
      <c r="N311" t="str">
        <f t="shared" si="46"/>
        <v>0</v>
      </c>
    </row>
    <row r="312" spans="1:14" x14ac:dyDescent="0.3">
      <c r="A312" t="s">
        <v>17</v>
      </c>
      <c r="B312" t="s">
        <v>18</v>
      </c>
      <c r="C312" t="str">
        <f t="shared" si="38"/>
        <v>400</v>
      </c>
      <c r="D312" t="str">
        <f>"610182"</f>
        <v>610182</v>
      </c>
      <c r="E312" t="s">
        <v>19</v>
      </c>
      <c r="F312" t="s">
        <v>287</v>
      </c>
      <c r="G312">
        <v>250</v>
      </c>
      <c r="H312" t="str">
        <f>""</f>
        <v/>
      </c>
      <c r="I312">
        <v>15.42</v>
      </c>
      <c r="J312">
        <v>0</v>
      </c>
      <c r="K312" t="str">
        <f t="shared" si="44"/>
        <v>31000</v>
      </c>
      <c r="L312" t="str">
        <f t="shared" si="46"/>
        <v>0</v>
      </c>
      <c r="M312" t="str">
        <f t="shared" si="46"/>
        <v>0</v>
      </c>
      <c r="N312" t="str">
        <f t="shared" si="46"/>
        <v>0</v>
      </c>
    </row>
    <row r="313" spans="1:14" x14ac:dyDescent="0.3">
      <c r="A313" t="s">
        <v>17</v>
      </c>
      <c r="B313" t="s">
        <v>18</v>
      </c>
      <c r="C313" t="str">
        <f t="shared" si="38"/>
        <v>400</v>
      </c>
      <c r="D313" t="str">
        <f>"610183"</f>
        <v>610183</v>
      </c>
      <c r="E313" t="s">
        <v>19</v>
      </c>
      <c r="F313" t="s">
        <v>288</v>
      </c>
      <c r="G313">
        <v>250</v>
      </c>
      <c r="H313" t="str">
        <f>""</f>
        <v/>
      </c>
      <c r="I313">
        <v>18.45</v>
      </c>
      <c r="J313">
        <v>0</v>
      </c>
      <c r="K313" t="str">
        <f t="shared" si="44"/>
        <v>31000</v>
      </c>
      <c r="L313" t="str">
        <f t="shared" si="46"/>
        <v>0</v>
      </c>
      <c r="M313" t="str">
        <f t="shared" si="46"/>
        <v>0</v>
      </c>
      <c r="N313" t="str">
        <f t="shared" si="46"/>
        <v>0</v>
      </c>
    </row>
    <row r="314" spans="1:14" x14ac:dyDescent="0.3">
      <c r="A314" t="s">
        <v>17</v>
      </c>
      <c r="B314" t="s">
        <v>18</v>
      </c>
      <c r="C314" t="str">
        <f t="shared" si="38"/>
        <v>400</v>
      </c>
      <c r="D314" t="str">
        <f>"610185"</f>
        <v>610185</v>
      </c>
      <c r="E314" t="s">
        <v>19</v>
      </c>
      <c r="F314" t="s">
        <v>289</v>
      </c>
      <c r="G314">
        <v>250</v>
      </c>
      <c r="H314" t="str">
        <f>""</f>
        <v/>
      </c>
      <c r="I314">
        <v>18.45</v>
      </c>
      <c r="J314">
        <v>0</v>
      </c>
      <c r="K314" t="str">
        <f t="shared" si="44"/>
        <v>31000</v>
      </c>
      <c r="L314" t="str">
        <f t="shared" si="46"/>
        <v>0</v>
      </c>
      <c r="M314" t="str">
        <f t="shared" si="46"/>
        <v>0</v>
      </c>
      <c r="N314" t="str">
        <f t="shared" si="46"/>
        <v>0</v>
      </c>
    </row>
    <row r="315" spans="1:14" x14ac:dyDescent="0.3">
      <c r="A315" t="s">
        <v>17</v>
      </c>
      <c r="B315" t="s">
        <v>18</v>
      </c>
      <c r="C315" t="str">
        <f t="shared" si="38"/>
        <v>400</v>
      </c>
      <c r="D315" t="str">
        <f>"610195"</f>
        <v>610195</v>
      </c>
      <c r="E315" t="s">
        <v>19</v>
      </c>
      <c r="F315" t="s">
        <v>290</v>
      </c>
      <c r="G315">
        <v>250</v>
      </c>
      <c r="I315">
        <v>3</v>
      </c>
      <c r="J315">
        <v>0</v>
      </c>
      <c r="K315" t="str">
        <f t="shared" si="44"/>
        <v>31000</v>
      </c>
    </row>
    <row r="316" spans="1:14" x14ac:dyDescent="0.3">
      <c r="A316" t="s">
        <v>17</v>
      </c>
      <c r="B316" t="s">
        <v>18</v>
      </c>
      <c r="C316" t="str">
        <f t="shared" si="38"/>
        <v>400</v>
      </c>
      <c r="D316" t="str">
        <f>"610207"</f>
        <v>610207</v>
      </c>
      <c r="E316" t="s">
        <v>19</v>
      </c>
      <c r="F316" t="s">
        <v>291</v>
      </c>
      <c r="G316">
        <v>250</v>
      </c>
      <c r="I316">
        <v>18.149999999999999</v>
      </c>
      <c r="J316">
        <v>0</v>
      </c>
      <c r="K316" t="str">
        <f t="shared" si="44"/>
        <v>31000</v>
      </c>
    </row>
    <row r="317" spans="1:14" x14ac:dyDescent="0.3">
      <c r="A317" t="s">
        <v>17</v>
      </c>
      <c r="B317" t="s">
        <v>18</v>
      </c>
      <c r="C317" t="str">
        <f t="shared" si="38"/>
        <v>400</v>
      </c>
      <c r="D317" t="str">
        <f>"610208"</f>
        <v>610208</v>
      </c>
      <c r="E317" t="s">
        <v>19</v>
      </c>
      <c r="F317" t="s">
        <v>292</v>
      </c>
      <c r="G317">
        <v>250</v>
      </c>
      <c r="H317" t="str">
        <f>""</f>
        <v/>
      </c>
      <c r="I317">
        <v>16</v>
      </c>
      <c r="J317">
        <v>0</v>
      </c>
      <c r="K317" t="str">
        <f t="shared" si="44"/>
        <v>31000</v>
      </c>
      <c r="L317" t="str">
        <f t="shared" ref="L317:N326" si="47">"0"</f>
        <v>0</v>
      </c>
      <c r="M317" t="str">
        <f t="shared" si="47"/>
        <v>0</v>
      </c>
      <c r="N317" t="str">
        <f t="shared" si="47"/>
        <v>0</v>
      </c>
    </row>
    <row r="318" spans="1:14" x14ac:dyDescent="0.3">
      <c r="A318" t="s">
        <v>17</v>
      </c>
      <c r="B318" t="s">
        <v>18</v>
      </c>
      <c r="C318" t="str">
        <f t="shared" si="38"/>
        <v>400</v>
      </c>
      <c r="D318" t="str">
        <f>"610209"</f>
        <v>610209</v>
      </c>
      <c r="E318" t="s">
        <v>19</v>
      </c>
      <c r="F318" t="s">
        <v>293</v>
      </c>
      <c r="G318">
        <v>250</v>
      </c>
      <c r="H318" t="str">
        <f>""</f>
        <v/>
      </c>
      <c r="I318">
        <v>32</v>
      </c>
      <c r="J318">
        <v>0</v>
      </c>
      <c r="K318" t="str">
        <f t="shared" si="44"/>
        <v>31000</v>
      </c>
      <c r="L318" t="str">
        <f t="shared" si="47"/>
        <v>0</v>
      </c>
      <c r="M318" t="str">
        <f t="shared" si="47"/>
        <v>0</v>
      </c>
      <c r="N318" t="str">
        <f t="shared" si="47"/>
        <v>0</v>
      </c>
    </row>
    <row r="319" spans="1:14" x14ac:dyDescent="0.3">
      <c r="A319" t="s">
        <v>17</v>
      </c>
      <c r="B319" t="s">
        <v>18</v>
      </c>
      <c r="C319" t="str">
        <f t="shared" si="38"/>
        <v>400</v>
      </c>
      <c r="D319" t="str">
        <f>"610210"</f>
        <v>610210</v>
      </c>
      <c r="E319" t="s">
        <v>19</v>
      </c>
      <c r="F319" t="s">
        <v>294</v>
      </c>
      <c r="G319">
        <v>250</v>
      </c>
      <c r="H319" t="str">
        <f>""</f>
        <v/>
      </c>
      <c r="I319">
        <v>4.5</v>
      </c>
      <c r="J319">
        <v>0</v>
      </c>
      <c r="K319" t="str">
        <f t="shared" si="44"/>
        <v>31000</v>
      </c>
      <c r="L319" t="str">
        <f t="shared" si="47"/>
        <v>0</v>
      </c>
      <c r="M319" t="str">
        <f t="shared" si="47"/>
        <v>0</v>
      </c>
      <c r="N319" t="str">
        <f t="shared" si="47"/>
        <v>0</v>
      </c>
    </row>
    <row r="320" spans="1:14" x14ac:dyDescent="0.3">
      <c r="A320" t="s">
        <v>17</v>
      </c>
      <c r="B320" t="s">
        <v>18</v>
      </c>
      <c r="C320" t="str">
        <f t="shared" si="38"/>
        <v>400</v>
      </c>
      <c r="D320" t="str">
        <f>"610211"</f>
        <v>610211</v>
      </c>
      <c r="E320" t="s">
        <v>19</v>
      </c>
      <c r="F320" t="s">
        <v>295</v>
      </c>
      <c r="G320">
        <v>250</v>
      </c>
      <c r="H320" t="str">
        <f>""</f>
        <v/>
      </c>
      <c r="I320">
        <v>4.5</v>
      </c>
      <c r="J320">
        <v>0</v>
      </c>
      <c r="K320" t="str">
        <f t="shared" si="44"/>
        <v>31000</v>
      </c>
      <c r="L320" t="str">
        <f t="shared" si="47"/>
        <v>0</v>
      </c>
      <c r="M320" t="str">
        <f t="shared" si="47"/>
        <v>0</v>
      </c>
      <c r="N320" t="str">
        <f t="shared" si="47"/>
        <v>0</v>
      </c>
    </row>
    <row r="321" spans="1:14" x14ac:dyDescent="0.3">
      <c r="A321" t="s">
        <v>17</v>
      </c>
      <c r="B321" t="s">
        <v>18</v>
      </c>
      <c r="C321" t="str">
        <f t="shared" si="38"/>
        <v>400</v>
      </c>
      <c r="D321" t="str">
        <f>"610212"</f>
        <v>610212</v>
      </c>
      <c r="E321" t="s">
        <v>19</v>
      </c>
      <c r="F321" t="s">
        <v>296</v>
      </c>
      <c r="G321">
        <v>250</v>
      </c>
      <c r="H321" t="str">
        <f>""</f>
        <v/>
      </c>
      <c r="I321">
        <v>7.5</v>
      </c>
      <c r="J321">
        <v>0</v>
      </c>
      <c r="K321" t="str">
        <f t="shared" si="44"/>
        <v>31000</v>
      </c>
      <c r="L321" t="str">
        <f t="shared" si="47"/>
        <v>0</v>
      </c>
      <c r="M321" t="str">
        <f t="shared" si="47"/>
        <v>0</v>
      </c>
      <c r="N321" t="str">
        <f t="shared" si="47"/>
        <v>0</v>
      </c>
    </row>
    <row r="322" spans="1:14" x14ac:dyDescent="0.3">
      <c r="A322" t="s">
        <v>17</v>
      </c>
      <c r="B322" t="s">
        <v>18</v>
      </c>
      <c r="C322" t="str">
        <f t="shared" ref="C322:C385" si="48">"400"</f>
        <v>400</v>
      </c>
      <c r="D322" t="str">
        <f>"610215"</f>
        <v>610215</v>
      </c>
      <c r="E322" t="s">
        <v>19</v>
      </c>
      <c r="F322" t="s">
        <v>297</v>
      </c>
      <c r="G322">
        <v>250</v>
      </c>
      <c r="H322" t="str">
        <f>""</f>
        <v/>
      </c>
      <c r="I322">
        <v>6.95</v>
      </c>
      <c r="J322">
        <v>0</v>
      </c>
      <c r="K322" t="str">
        <f t="shared" si="44"/>
        <v>31000</v>
      </c>
      <c r="L322" t="str">
        <f t="shared" si="47"/>
        <v>0</v>
      </c>
      <c r="M322" t="str">
        <f t="shared" si="47"/>
        <v>0</v>
      </c>
      <c r="N322" t="str">
        <f t="shared" si="47"/>
        <v>0</v>
      </c>
    </row>
    <row r="323" spans="1:14" x14ac:dyDescent="0.3">
      <c r="A323" t="s">
        <v>17</v>
      </c>
      <c r="B323" t="s">
        <v>18</v>
      </c>
      <c r="C323" t="str">
        <f t="shared" si="48"/>
        <v>400</v>
      </c>
      <c r="D323" t="str">
        <f>"610216"</f>
        <v>610216</v>
      </c>
      <c r="E323" t="s">
        <v>19</v>
      </c>
      <c r="F323" t="s">
        <v>298</v>
      </c>
      <c r="G323">
        <v>250</v>
      </c>
      <c r="H323" t="str">
        <f>""</f>
        <v/>
      </c>
      <c r="I323">
        <v>4.5</v>
      </c>
      <c r="J323">
        <v>0</v>
      </c>
      <c r="K323" t="str">
        <f t="shared" si="44"/>
        <v>31000</v>
      </c>
      <c r="L323" t="str">
        <f t="shared" si="47"/>
        <v>0</v>
      </c>
      <c r="M323" t="str">
        <f t="shared" si="47"/>
        <v>0</v>
      </c>
      <c r="N323" t="str">
        <f t="shared" si="47"/>
        <v>0</v>
      </c>
    </row>
    <row r="324" spans="1:14" x14ac:dyDescent="0.3">
      <c r="A324" t="s">
        <v>17</v>
      </c>
      <c r="B324" t="s">
        <v>18</v>
      </c>
      <c r="C324" t="str">
        <f t="shared" si="48"/>
        <v>400</v>
      </c>
      <c r="D324" t="str">
        <f>"610217"</f>
        <v>610217</v>
      </c>
      <c r="E324" t="s">
        <v>19</v>
      </c>
      <c r="F324" t="s">
        <v>299</v>
      </c>
      <c r="G324">
        <v>250</v>
      </c>
      <c r="H324" t="str">
        <f>""</f>
        <v/>
      </c>
      <c r="I324">
        <v>4.5</v>
      </c>
      <c r="J324">
        <v>0</v>
      </c>
      <c r="K324" t="str">
        <f t="shared" si="44"/>
        <v>31000</v>
      </c>
      <c r="L324" t="str">
        <f t="shared" si="47"/>
        <v>0</v>
      </c>
      <c r="M324" t="str">
        <f t="shared" si="47"/>
        <v>0</v>
      </c>
      <c r="N324" t="str">
        <f t="shared" si="47"/>
        <v>0</v>
      </c>
    </row>
    <row r="325" spans="1:14" x14ac:dyDescent="0.3">
      <c r="A325" t="s">
        <v>17</v>
      </c>
      <c r="B325" t="s">
        <v>18</v>
      </c>
      <c r="C325" t="str">
        <f t="shared" si="48"/>
        <v>400</v>
      </c>
      <c r="D325" t="str">
        <f>"610219"</f>
        <v>610219</v>
      </c>
      <c r="E325" t="s">
        <v>19</v>
      </c>
      <c r="F325" t="s">
        <v>300</v>
      </c>
      <c r="G325">
        <v>250</v>
      </c>
      <c r="H325" t="str">
        <f>""</f>
        <v/>
      </c>
      <c r="I325">
        <v>4.5</v>
      </c>
      <c r="J325">
        <v>0</v>
      </c>
      <c r="K325" t="str">
        <f t="shared" si="44"/>
        <v>31000</v>
      </c>
      <c r="L325" t="str">
        <f t="shared" si="47"/>
        <v>0</v>
      </c>
      <c r="M325" t="str">
        <f t="shared" si="47"/>
        <v>0</v>
      </c>
      <c r="N325" t="str">
        <f t="shared" si="47"/>
        <v>0</v>
      </c>
    </row>
    <row r="326" spans="1:14" x14ac:dyDescent="0.3">
      <c r="A326" t="s">
        <v>17</v>
      </c>
      <c r="B326" t="s">
        <v>18</v>
      </c>
      <c r="C326" t="str">
        <f t="shared" si="48"/>
        <v>400</v>
      </c>
      <c r="D326" t="str">
        <f>"610221"</f>
        <v>610221</v>
      </c>
      <c r="E326" t="s">
        <v>19</v>
      </c>
      <c r="F326" t="s">
        <v>301</v>
      </c>
      <c r="G326">
        <v>250</v>
      </c>
      <c r="H326" t="str">
        <f>""</f>
        <v/>
      </c>
      <c r="I326">
        <v>7.5</v>
      </c>
      <c r="J326">
        <v>0</v>
      </c>
      <c r="K326" t="str">
        <f t="shared" si="44"/>
        <v>31000</v>
      </c>
      <c r="L326" t="str">
        <f t="shared" si="47"/>
        <v>0</v>
      </c>
      <c r="M326" t="str">
        <f t="shared" si="47"/>
        <v>0</v>
      </c>
      <c r="N326" t="str">
        <f t="shared" si="47"/>
        <v>0</v>
      </c>
    </row>
    <row r="327" spans="1:14" x14ac:dyDescent="0.3">
      <c r="A327" t="s">
        <v>17</v>
      </c>
      <c r="B327" t="s">
        <v>18</v>
      </c>
      <c r="C327" t="str">
        <f t="shared" si="48"/>
        <v>400</v>
      </c>
      <c r="D327" t="str">
        <f>"610222"</f>
        <v>610222</v>
      </c>
      <c r="E327" t="s">
        <v>19</v>
      </c>
      <c r="F327" t="s">
        <v>302</v>
      </c>
      <c r="G327">
        <v>250</v>
      </c>
      <c r="I327">
        <v>75</v>
      </c>
      <c r="J327">
        <v>0</v>
      </c>
      <c r="K327" t="str">
        <f t="shared" si="44"/>
        <v>31000</v>
      </c>
    </row>
    <row r="328" spans="1:14" x14ac:dyDescent="0.3">
      <c r="A328" t="s">
        <v>17</v>
      </c>
      <c r="B328" t="s">
        <v>18</v>
      </c>
      <c r="C328" t="str">
        <f t="shared" si="48"/>
        <v>400</v>
      </c>
      <c r="D328" t="str">
        <f>"610226"</f>
        <v>610226</v>
      </c>
      <c r="E328" t="s">
        <v>19</v>
      </c>
      <c r="F328" t="s">
        <v>303</v>
      </c>
      <c r="G328">
        <v>250</v>
      </c>
      <c r="H328" t="str">
        <f>""</f>
        <v/>
      </c>
      <c r="I328">
        <v>9.9499999999999993</v>
      </c>
      <c r="J328">
        <v>0</v>
      </c>
      <c r="K328" t="str">
        <f t="shared" si="44"/>
        <v>31000</v>
      </c>
      <c r="L328" t="str">
        <f t="shared" ref="L328:N329" si="49">"0"</f>
        <v>0</v>
      </c>
      <c r="M328" t="str">
        <f t="shared" si="49"/>
        <v>0</v>
      </c>
      <c r="N328" t="str">
        <f t="shared" si="49"/>
        <v>0</v>
      </c>
    </row>
    <row r="329" spans="1:14" x14ac:dyDescent="0.3">
      <c r="A329" t="s">
        <v>17</v>
      </c>
      <c r="B329" t="s">
        <v>18</v>
      </c>
      <c r="C329" t="str">
        <f t="shared" si="48"/>
        <v>400</v>
      </c>
      <c r="D329" t="str">
        <f>"610227"</f>
        <v>610227</v>
      </c>
      <c r="E329" t="s">
        <v>19</v>
      </c>
      <c r="F329" t="s">
        <v>304</v>
      </c>
      <c r="G329">
        <v>250</v>
      </c>
      <c r="H329" t="str">
        <f>""</f>
        <v/>
      </c>
      <c r="I329">
        <v>4.5</v>
      </c>
      <c r="J329">
        <v>0</v>
      </c>
      <c r="K329" t="str">
        <f t="shared" si="44"/>
        <v>31000</v>
      </c>
      <c r="L329" t="str">
        <f t="shared" si="49"/>
        <v>0</v>
      </c>
      <c r="M329" t="str">
        <f t="shared" si="49"/>
        <v>0</v>
      </c>
      <c r="N329" t="str">
        <f t="shared" si="49"/>
        <v>0</v>
      </c>
    </row>
    <row r="330" spans="1:14" x14ac:dyDescent="0.3">
      <c r="A330" t="s">
        <v>17</v>
      </c>
      <c r="B330" t="s">
        <v>18</v>
      </c>
      <c r="C330" t="str">
        <f t="shared" si="48"/>
        <v>400</v>
      </c>
      <c r="D330" t="str">
        <f>"610228"</f>
        <v>610228</v>
      </c>
      <c r="E330" t="s">
        <v>19</v>
      </c>
      <c r="F330" t="s">
        <v>305</v>
      </c>
      <c r="G330">
        <v>250</v>
      </c>
      <c r="I330">
        <v>4.2</v>
      </c>
      <c r="J330">
        <v>0</v>
      </c>
      <c r="K330" t="str">
        <f t="shared" si="44"/>
        <v>31000</v>
      </c>
    </row>
    <row r="331" spans="1:14" x14ac:dyDescent="0.3">
      <c r="A331" t="s">
        <v>17</v>
      </c>
      <c r="B331" t="s">
        <v>18</v>
      </c>
      <c r="C331" t="str">
        <f t="shared" si="48"/>
        <v>400</v>
      </c>
      <c r="D331" t="str">
        <f>"610230"</f>
        <v>610230</v>
      </c>
      <c r="E331" t="s">
        <v>19</v>
      </c>
      <c r="F331" t="s">
        <v>306</v>
      </c>
      <c r="G331">
        <v>250</v>
      </c>
      <c r="H331" t="str">
        <f>""</f>
        <v/>
      </c>
      <c r="I331">
        <v>2.5</v>
      </c>
      <c r="J331">
        <v>0</v>
      </c>
      <c r="K331" t="str">
        <f t="shared" si="44"/>
        <v>31000</v>
      </c>
      <c r="L331" t="str">
        <f t="shared" ref="L331:N352" si="50">"0"</f>
        <v>0</v>
      </c>
      <c r="M331" t="str">
        <f t="shared" si="50"/>
        <v>0</v>
      </c>
      <c r="N331" t="str">
        <f t="shared" si="50"/>
        <v>0</v>
      </c>
    </row>
    <row r="332" spans="1:14" x14ac:dyDescent="0.3">
      <c r="A332" t="s">
        <v>17</v>
      </c>
      <c r="B332" t="s">
        <v>18</v>
      </c>
      <c r="C332" t="str">
        <f t="shared" si="48"/>
        <v>400</v>
      </c>
      <c r="D332" t="str">
        <f>"610231"</f>
        <v>610231</v>
      </c>
      <c r="E332" t="s">
        <v>19</v>
      </c>
      <c r="F332" t="s">
        <v>307</v>
      </c>
      <c r="G332">
        <v>250</v>
      </c>
      <c r="H332" t="str">
        <f>""</f>
        <v/>
      </c>
      <c r="I332">
        <v>54.54</v>
      </c>
      <c r="J332">
        <v>0</v>
      </c>
      <c r="K332" t="str">
        <f t="shared" si="44"/>
        <v>31000</v>
      </c>
      <c r="L332" t="str">
        <f t="shared" si="50"/>
        <v>0</v>
      </c>
      <c r="M332" t="str">
        <f t="shared" si="50"/>
        <v>0</v>
      </c>
      <c r="N332" t="str">
        <f t="shared" si="50"/>
        <v>0</v>
      </c>
    </row>
    <row r="333" spans="1:14" x14ac:dyDescent="0.3">
      <c r="A333" t="s">
        <v>17</v>
      </c>
      <c r="B333" t="s">
        <v>18</v>
      </c>
      <c r="C333" t="str">
        <f t="shared" si="48"/>
        <v>400</v>
      </c>
      <c r="D333" t="str">
        <f>"610233"</f>
        <v>610233</v>
      </c>
      <c r="E333" t="s">
        <v>19</v>
      </c>
      <c r="F333" t="s">
        <v>308</v>
      </c>
      <c r="G333">
        <v>250</v>
      </c>
      <c r="H333" t="str">
        <f>""</f>
        <v/>
      </c>
      <c r="I333">
        <v>14.95</v>
      </c>
      <c r="J333">
        <v>0</v>
      </c>
      <c r="K333" t="str">
        <f t="shared" si="44"/>
        <v>31000</v>
      </c>
      <c r="L333" t="str">
        <f t="shared" si="50"/>
        <v>0</v>
      </c>
      <c r="M333" t="str">
        <f t="shared" si="50"/>
        <v>0</v>
      </c>
      <c r="N333" t="str">
        <f t="shared" si="50"/>
        <v>0</v>
      </c>
    </row>
    <row r="334" spans="1:14" x14ac:dyDescent="0.3">
      <c r="A334" t="s">
        <v>17</v>
      </c>
      <c r="B334" t="s">
        <v>18</v>
      </c>
      <c r="C334" t="str">
        <f t="shared" si="48"/>
        <v>400</v>
      </c>
      <c r="D334" t="str">
        <f>"610234"</f>
        <v>610234</v>
      </c>
      <c r="E334" t="s">
        <v>19</v>
      </c>
      <c r="F334" t="s">
        <v>309</v>
      </c>
      <c r="G334">
        <v>250</v>
      </c>
      <c r="H334" t="str">
        <f>""</f>
        <v/>
      </c>
      <c r="I334">
        <v>32</v>
      </c>
      <c r="J334">
        <v>0</v>
      </c>
      <c r="K334" t="str">
        <f t="shared" si="44"/>
        <v>31000</v>
      </c>
      <c r="L334" t="str">
        <f t="shared" si="50"/>
        <v>0</v>
      </c>
      <c r="M334" t="str">
        <f t="shared" si="50"/>
        <v>0</v>
      </c>
      <c r="N334" t="str">
        <f t="shared" si="50"/>
        <v>0</v>
      </c>
    </row>
    <row r="335" spans="1:14" x14ac:dyDescent="0.3">
      <c r="A335" t="s">
        <v>17</v>
      </c>
      <c r="B335" t="s">
        <v>18</v>
      </c>
      <c r="C335" t="str">
        <f t="shared" si="48"/>
        <v>400</v>
      </c>
      <c r="D335" t="str">
        <f>"610235"</f>
        <v>610235</v>
      </c>
      <c r="E335" t="s">
        <v>19</v>
      </c>
      <c r="F335" t="s">
        <v>310</v>
      </c>
      <c r="G335">
        <v>250</v>
      </c>
      <c r="H335" t="str">
        <f>""</f>
        <v/>
      </c>
      <c r="I335">
        <v>4.4000000000000004</v>
      </c>
      <c r="J335">
        <v>0</v>
      </c>
      <c r="K335" t="str">
        <f t="shared" si="44"/>
        <v>31000</v>
      </c>
      <c r="L335" t="str">
        <f t="shared" si="50"/>
        <v>0</v>
      </c>
      <c r="M335" t="str">
        <f t="shared" si="50"/>
        <v>0</v>
      </c>
      <c r="N335" t="str">
        <f t="shared" si="50"/>
        <v>0</v>
      </c>
    </row>
    <row r="336" spans="1:14" x14ac:dyDescent="0.3">
      <c r="A336" t="s">
        <v>17</v>
      </c>
      <c r="B336" t="s">
        <v>18</v>
      </c>
      <c r="C336" t="str">
        <f t="shared" si="48"/>
        <v>400</v>
      </c>
      <c r="D336" t="str">
        <f>"610237"</f>
        <v>610237</v>
      </c>
      <c r="E336" t="s">
        <v>19</v>
      </c>
      <c r="F336" t="s">
        <v>311</v>
      </c>
      <c r="G336">
        <v>250</v>
      </c>
      <c r="H336" t="str">
        <f>""</f>
        <v/>
      </c>
      <c r="I336">
        <v>4.5</v>
      </c>
      <c r="J336">
        <v>0</v>
      </c>
      <c r="K336" t="str">
        <f t="shared" si="44"/>
        <v>31000</v>
      </c>
      <c r="L336" t="str">
        <f t="shared" si="50"/>
        <v>0</v>
      </c>
      <c r="M336" t="str">
        <f t="shared" si="50"/>
        <v>0</v>
      </c>
      <c r="N336" t="str">
        <f t="shared" si="50"/>
        <v>0</v>
      </c>
    </row>
    <row r="337" spans="1:14" x14ac:dyDescent="0.3">
      <c r="A337" t="s">
        <v>17</v>
      </c>
      <c r="B337" t="s">
        <v>18</v>
      </c>
      <c r="C337" t="str">
        <f t="shared" si="48"/>
        <v>400</v>
      </c>
      <c r="D337" t="str">
        <f>"610240"</f>
        <v>610240</v>
      </c>
      <c r="E337" t="s">
        <v>19</v>
      </c>
      <c r="F337" t="s">
        <v>312</v>
      </c>
      <c r="G337">
        <v>250</v>
      </c>
      <c r="H337" t="str">
        <f>""</f>
        <v/>
      </c>
      <c r="I337">
        <v>78.900000000000006</v>
      </c>
      <c r="J337">
        <v>0</v>
      </c>
      <c r="K337" t="str">
        <f t="shared" si="44"/>
        <v>31000</v>
      </c>
      <c r="L337" t="str">
        <f t="shared" si="50"/>
        <v>0</v>
      </c>
      <c r="M337" t="str">
        <f t="shared" si="50"/>
        <v>0</v>
      </c>
      <c r="N337" t="str">
        <f t="shared" si="50"/>
        <v>0</v>
      </c>
    </row>
    <row r="338" spans="1:14" x14ac:dyDescent="0.3">
      <c r="A338" t="s">
        <v>17</v>
      </c>
      <c r="B338" t="s">
        <v>18</v>
      </c>
      <c r="C338" t="str">
        <f t="shared" si="48"/>
        <v>400</v>
      </c>
      <c r="D338" t="str">
        <f>"610241"</f>
        <v>610241</v>
      </c>
      <c r="E338" t="s">
        <v>19</v>
      </c>
      <c r="F338" t="s">
        <v>313</v>
      </c>
      <c r="G338">
        <v>250</v>
      </c>
      <c r="H338" t="str">
        <f>""</f>
        <v/>
      </c>
      <c r="I338">
        <v>4.5</v>
      </c>
      <c r="J338">
        <v>0</v>
      </c>
      <c r="K338" t="str">
        <f t="shared" si="44"/>
        <v>31000</v>
      </c>
      <c r="L338" t="str">
        <f t="shared" si="50"/>
        <v>0</v>
      </c>
      <c r="M338" t="str">
        <f t="shared" si="50"/>
        <v>0</v>
      </c>
      <c r="N338" t="str">
        <f t="shared" si="50"/>
        <v>0</v>
      </c>
    </row>
    <row r="339" spans="1:14" x14ac:dyDescent="0.3">
      <c r="A339" t="s">
        <v>17</v>
      </c>
      <c r="B339" t="s">
        <v>18</v>
      </c>
      <c r="C339" t="str">
        <f t="shared" si="48"/>
        <v>400</v>
      </c>
      <c r="D339" t="str">
        <f>"610242"</f>
        <v>610242</v>
      </c>
      <c r="E339" t="s">
        <v>19</v>
      </c>
      <c r="F339" t="s">
        <v>314</v>
      </c>
      <c r="G339">
        <v>250</v>
      </c>
      <c r="I339">
        <v>2.5</v>
      </c>
      <c r="J339">
        <v>0</v>
      </c>
      <c r="K339" t="str">
        <f t="shared" si="44"/>
        <v>31000</v>
      </c>
      <c r="L339" t="str">
        <f t="shared" si="50"/>
        <v>0</v>
      </c>
      <c r="M339" t="str">
        <f t="shared" si="50"/>
        <v>0</v>
      </c>
      <c r="N339" t="str">
        <f t="shared" si="50"/>
        <v>0</v>
      </c>
    </row>
    <row r="340" spans="1:14" x14ac:dyDescent="0.3">
      <c r="A340" t="s">
        <v>17</v>
      </c>
      <c r="B340" t="s">
        <v>18</v>
      </c>
      <c r="C340" t="str">
        <f t="shared" si="48"/>
        <v>400</v>
      </c>
      <c r="D340" t="str">
        <f>"610243"</f>
        <v>610243</v>
      </c>
      <c r="E340" t="s">
        <v>19</v>
      </c>
      <c r="F340" t="s">
        <v>315</v>
      </c>
      <c r="G340">
        <v>250</v>
      </c>
      <c r="H340" t="str">
        <f>""</f>
        <v/>
      </c>
      <c r="I340">
        <v>115.7</v>
      </c>
      <c r="J340">
        <v>0</v>
      </c>
      <c r="K340" t="str">
        <f t="shared" si="44"/>
        <v>31000</v>
      </c>
      <c r="L340" t="str">
        <f t="shared" si="50"/>
        <v>0</v>
      </c>
      <c r="M340" t="str">
        <f t="shared" si="50"/>
        <v>0</v>
      </c>
      <c r="N340" t="str">
        <f t="shared" si="50"/>
        <v>0</v>
      </c>
    </row>
    <row r="341" spans="1:14" x14ac:dyDescent="0.3">
      <c r="A341" t="s">
        <v>17</v>
      </c>
      <c r="B341" t="s">
        <v>18</v>
      </c>
      <c r="C341" t="str">
        <f t="shared" si="48"/>
        <v>400</v>
      </c>
      <c r="D341" t="str">
        <f>"610244"</f>
        <v>610244</v>
      </c>
      <c r="E341" t="s">
        <v>19</v>
      </c>
      <c r="F341" t="s">
        <v>316</v>
      </c>
      <c r="G341">
        <v>250</v>
      </c>
      <c r="H341" t="str">
        <f>""</f>
        <v/>
      </c>
      <c r="I341">
        <v>12.75</v>
      </c>
      <c r="J341">
        <v>0</v>
      </c>
      <c r="K341" t="str">
        <f t="shared" si="44"/>
        <v>31000</v>
      </c>
      <c r="L341" t="str">
        <f t="shared" si="50"/>
        <v>0</v>
      </c>
      <c r="M341" t="str">
        <f t="shared" si="50"/>
        <v>0</v>
      </c>
      <c r="N341" t="str">
        <f t="shared" si="50"/>
        <v>0</v>
      </c>
    </row>
    <row r="342" spans="1:14" x14ac:dyDescent="0.3">
      <c r="A342" t="s">
        <v>17</v>
      </c>
      <c r="B342" t="s">
        <v>18</v>
      </c>
      <c r="C342" t="str">
        <f t="shared" si="48"/>
        <v>400</v>
      </c>
      <c r="D342" t="str">
        <f>"610245"</f>
        <v>610245</v>
      </c>
      <c r="E342" t="s">
        <v>19</v>
      </c>
      <c r="F342" t="s">
        <v>317</v>
      </c>
      <c r="G342">
        <v>250</v>
      </c>
      <c r="H342" t="str">
        <f>""</f>
        <v/>
      </c>
      <c r="I342">
        <v>77.599999999999994</v>
      </c>
      <c r="J342">
        <v>0</v>
      </c>
      <c r="K342" t="str">
        <f t="shared" si="44"/>
        <v>31000</v>
      </c>
      <c r="L342" t="str">
        <f t="shared" si="50"/>
        <v>0</v>
      </c>
      <c r="M342" t="str">
        <f t="shared" si="50"/>
        <v>0</v>
      </c>
      <c r="N342" t="str">
        <f t="shared" si="50"/>
        <v>0</v>
      </c>
    </row>
    <row r="343" spans="1:14" x14ac:dyDescent="0.3">
      <c r="A343" t="s">
        <v>17</v>
      </c>
      <c r="B343" t="s">
        <v>18</v>
      </c>
      <c r="C343" t="str">
        <f t="shared" si="48"/>
        <v>400</v>
      </c>
      <c r="D343" t="str">
        <f>"610246"</f>
        <v>610246</v>
      </c>
      <c r="E343" t="s">
        <v>19</v>
      </c>
      <c r="F343" t="s">
        <v>318</v>
      </c>
      <c r="G343">
        <v>250</v>
      </c>
      <c r="H343" t="str">
        <f>""</f>
        <v/>
      </c>
      <c r="I343">
        <v>15</v>
      </c>
      <c r="J343">
        <v>0</v>
      </c>
      <c r="K343" t="str">
        <f t="shared" si="44"/>
        <v>31000</v>
      </c>
      <c r="L343" t="str">
        <f t="shared" si="50"/>
        <v>0</v>
      </c>
      <c r="M343" t="str">
        <f t="shared" si="50"/>
        <v>0</v>
      </c>
      <c r="N343" t="str">
        <f t="shared" si="50"/>
        <v>0</v>
      </c>
    </row>
    <row r="344" spans="1:14" x14ac:dyDescent="0.3">
      <c r="A344" t="s">
        <v>17</v>
      </c>
      <c r="B344" t="s">
        <v>18</v>
      </c>
      <c r="C344" t="str">
        <f t="shared" si="48"/>
        <v>400</v>
      </c>
      <c r="D344" t="str">
        <f>"610247"</f>
        <v>610247</v>
      </c>
      <c r="E344" t="s">
        <v>19</v>
      </c>
      <c r="F344" t="s">
        <v>319</v>
      </c>
      <c r="G344">
        <v>250</v>
      </c>
      <c r="H344" t="str">
        <f>""</f>
        <v/>
      </c>
      <c r="I344">
        <v>12.75</v>
      </c>
      <c r="J344">
        <v>0</v>
      </c>
      <c r="K344" t="str">
        <f t="shared" si="44"/>
        <v>31000</v>
      </c>
      <c r="L344" t="str">
        <f t="shared" si="50"/>
        <v>0</v>
      </c>
      <c r="M344" t="str">
        <f t="shared" si="50"/>
        <v>0</v>
      </c>
      <c r="N344" t="str">
        <f t="shared" si="50"/>
        <v>0</v>
      </c>
    </row>
    <row r="345" spans="1:14" x14ac:dyDescent="0.3">
      <c r="A345" t="s">
        <v>17</v>
      </c>
      <c r="B345" t="s">
        <v>18</v>
      </c>
      <c r="C345" t="str">
        <f t="shared" si="48"/>
        <v>400</v>
      </c>
      <c r="D345" t="str">
        <f>"610248"</f>
        <v>610248</v>
      </c>
      <c r="E345" t="s">
        <v>19</v>
      </c>
      <c r="F345" t="s">
        <v>320</v>
      </c>
      <c r="G345">
        <v>250</v>
      </c>
      <c r="H345" t="str">
        <f>""</f>
        <v/>
      </c>
      <c r="I345">
        <v>7.15</v>
      </c>
      <c r="J345">
        <v>0</v>
      </c>
      <c r="K345" t="str">
        <f t="shared" si="44"/>
        <v>31000</v>
      </c>
      <c r="L345" t="str">
        <f t="shared" si="50"/>
        <v>0</v>
      </c>
      <c r="M345" t="str">
        <f t="shared" si="50"/>
        <v>0</v>
      </c>
      <c r="N345" t="str">
        <f t="shared" si="50"/>
        <v>0</v>
      </c>
    </row>
    <row r="346" spans="1:14" x14ac:dyDescent="0.3">
      <c r="A346" t="s">
        <v>17</v>
      </c>
      <c r="B346" t="s">
        <v>18</v>
      </c>
      <c r="C346" t="str">
        <f t="shared" si="48"/>
        <v>400</v>
      </c>
      <c r="D346" t="str">
        <f>"610249"</f>
        <v>610249</v>
      </c>
      <c r="E346" t="s">
        <v>19</v>
      </c>
      <c r="F346" t="s">
        <v>321</v>
      </c>
      <c r="G346">
        <v>250</v>
      </c>
      <c r="H346" t="str">
        <f>""</f>
        <v/>
      </c>
      <c r="I346">
        <v>5.8</v>
      </c>
      <c r="J346">
        <v>0</v>
      </c>
      <c r="K346" t="str">
        <f t="shared" si="44"/>
        <v>31000</v>
      </c>
      <c r="L346" t="str">
        <f t="shared" si="50"/>
        <v>0</v>
      </c>
      <c r="M346" t="str">
        <f t="shared" si="50"/>
        <v>0</v>
      </c>
      <c r="N346" t="str">
        <f t="shared" si="50"/>
        <v>0</v>
      </c>
    </row>
    <row r="347" spans="1:14" x14ac:dyDescent="0.3">
      <c r="A347" t="s">
        <v>17</v>
      </c>
      <c r="B347" t="s">
        <v>18</v>
      </c>
      <c r="C347" t="str">
        <f t="shared" si="48"/>
        <v>400</v>
      </c>
      <c r="D347" t="str">
        <f>"610251"</f>
        <v>610251</v>
      </c>
      <c r="E347" t="s">
        <v>19</v>
      </c>
      <c r="F347" t="s">
        <v>322</v>
      </c>
      <c r="G347">
        <v>250</v>
      </c>
      <c r="H347" t="str">
        <f>""</f>
        <v/>
      </c>
      <c r="I347">
        <v>18</v>
      </c>
      <c r="J347">
        <v>0</v>
      </c>
      <c r="K347" t="str">
        <f t="shared" si="44"/>
        <v>31000</v>
      </c>
      <c r="L347" t="str">
        <f t="shared" si="50"/>
        <v>0</v>
      </c>
      <c r="M347" t="str">
        <f t="shared" si="50"/>
        <v>0</v>
      </c>
      <c r="N347" t="str">
        <f t="shared" si="50"/>
        <v>0</v>
      </c>
    </row>
    <row r="348" spans="1:14" x14ac:dyDescent="0.3">
      <c r="A348" t="s">
        <v>17</v>
      </c>
      <c r="B348" t="s">
        <v>18</v>
      </c>
      <c r="C348" t="str">
        <f t="shared" si="48"/>
        <v>400</v>
      </c>
      <c r="D348" t="str">
        <f>"610252"</f>
        <v>610252</v>
      </c>
      <c r="E348" t="s">
        <v>19</v>
      </c>
      <c r="F348" t="s">
        <v>323</v>
      </c>
      <c r="G348">
        <v>250</v>
      </c>
      <c r="H348" t="str">
        <f>""</f>
        <v/>
      </c>
      <c r="I348">
        <v>18</v>
      </c>
      <c r="J348">
        <v>0</v>
      </c>
      <c r="K348" t="str">
        <f t="shared" si="44"/>
        <v>31000</v>
      </c>
      <c r="L348" t="str">
        <f t="shared" si="50"/>
        <v>0</v>
      </c>
      <c r="M348" t="str">
        <f t="shared" si="50"/>
        <v>0</v>
      </c>
      <c r="N348" t="str">
        <f t="shared" si="50"/>
        <v>0</v>
      </c>
    </row>
    <row r="349" spans="1:14" x14ac:dyDescent="0.3">
      <c r="A349" t="s">
        <v>17</v>
      </c>
      <c r="B349" t="s">
        <v>18</v>
      </c>
      <c r="C349" t="str">
        <f t="shared" si="48"/>
        <v>400</v>
      </c>
      <c r="D349" t="str">
        <f>"610253"</f>
        <v>610253</v>
      </c>
      <c r="E349" t="s">
        <v>19</v>
      </c>
      <c r="F349" t="s">
        <v>324</v>
      </c>
      <c r="G349">
        <v>250</v>
      </c>
      <c r="H349" t="str">
        <f>""</f>
        <v/>
      </c>
      <c r="I349">
        <v>25</v>
      </c>
      <c r="J349">
        <v>0</v>
      </c>
      <c r="K349" t="str">
        <f t="shared" si="44"/>
        <v>31000</v>
      </c>
      <c r="L349" t="str">
        <f t="shared" si="50"/>
        <v>0</v>
      </c>
      <c r="M349" t="str">
        <f t="shared" si="50"/>
        <v>0</v>
      </c>
      <c r="N349" t="str">
        <f t="shared" si="50"/>
        <v>0</v>
      </c>
    </row>
    <row r="350" spans="1:14" x14ac:dyDescent="0.3">
      <c r="A350" t="s">
        <v>17</v>
      </c>
      <c r="B350" t="s">
        <v>18</v>
      </c>
      <c r="C350" t="str">
        <f t="shared" si="48"/>
        <v>400</v>
      </c>
      <c r="D350" t="str">
        <f>"610254"</f>
        <v>610254</v>
      </c>
      <c r="E350" t="s">
        <v>19</v>
      </c>
      <c r="F350" t="s">
        <v>325</v>
      </c>
      <c r="G350">
        <v>250</v>
      </c>
      <c r="H350" t="str">
        <f>""</f>
        <v/>
      </c>
      <c r="I350">
        <v>108</v>
      </c>
      <c r="J350">
        <v>0</v>
      </c>
      <c r="K350" t="str">
        <f t="shared" si="44"/>
        <v>31000</v>
      </c>
      <c r="L350" t="str">
        <f t="shared" si="50"/>
        <v>0</v>
      </c>
      <c r="M350" t="str">
        <f t="shared" si="50"/>
        <v>0</v>
      </c>
      <c r="N350" t="str">
        <f t="shared" si="50"/>
        <v>0</v>
      </c>
    </row>
    <row r="351" spans="1:14" x14ac:dyDescent="0.3">
      <c r="A351" t="s">
        <v>17</v>
      </c>
      <c r="B351" t="s">
        <v>18</v>
      </c>
      <c r="C351" t="str">
        <f t="shared" si="48"/>
        <v>400</v>
      </c>
      <c r="D351" t="str">
        <f>"610255"</f>
        <v>610255</v>
      </c>
      <c r="E351" t="s">
        <v>19</v>
      </c>
      <c r="F351" t="s">
        <v>326</v>
      </c>
      <c r="G351">
        <v>250</v>
      </c>
      <c r="H351" t="str">
        <f>""</f>
        <v/>
      </c>
      <c r="I351">
        <v>6</v>
      </c>
      <c r="J351">
        <v>0</v>
      </c>
      <c r="K351" t="str">
        <f t="shared" si="44"/>
        <v>31000</v>
      </c>
      <c r="L351" t="str">
        <f t="shared" si="50"/>
        <v>0</v>
      </c>
      <c r="M351" t="str">
        <f t="shared" si="50"/>
        <v>0</v>
      </c>
      <c r="N351" t="str">
        <f t="shared" si="50"/>
        <v>0</v>
      </c>
    </row>
    <row r="352" spans="1:14" x14ac:dyDescent="0.3">
      <c r="A352" t="s">
        <v>17</v>
      </c>
      <c r="B352" t="s">
        <v>18</v>
      </c>
      <c r="C352" t="str">
        <f t="shared" si="48"/>
        <v>400</v>
      </c>
      <c r="D352" t="str">
        <f>"610258"</f>
        <v>610258</v>
      </c>
      <c r="E352" t="s">
        <v>19</v>
      </c>
      <c r="F352" t="s">
        <v>327</v>
      </c>
      <c r="G352">
        <v>250</v>
      </c>
      <c r="H352" t="str">
        <f>""</f>
        <v/>
      </c>
      <c r="I352">
        <v>4.5</v>
      </c>
      <c r="J352">
        <v>0</v>
      </c>
      <c r="K352" t="str">
        <f t="shared" si="44"/>
        <v>31000</v>
      </c>
      <c r="L352" t="str">
        <f t="shared" si="50"/>
        <v>0</v>
      </c>
      <c r="M352" t="str">
        <f t="shared" si="50"/>
        <v>0</v>
      </c>
      <c r="N352" t="str">
        <f t="shared" si="50"/>
        <v>0</v>
      </c>
    </row>
    <row r="353" spans="1:17" x14ac:dyDescent="0.3">
      <c r="A353" t="s">
        <v>17</v>
      </c>
      <c r="B353" t="s">
        <v>18</v>
      </c>
      <c r="C353" t="str">
        <f t="shared" si="48"/>
        <v>400</v>
      </c>
      <c r="D353" t="str">
        <f>"610259"</f>
        <v>610259</v>
      </c>
      <c r="E353" t="s">
        <v>19</v>
      </c>
      <c r="F353" t="s">
        <v>328</v>
      </c>
      <c r="G353">
        <v>250</v>
      </c>
      <c r="I353">
        <v>2</v>
      </c>
      <c r="J353">
        <v>0</v>
      </c>
      <c r="K353" t="str">
        <f t="shared" si="44"/>
        <v>31000</v>
      </c>
    </row>
    <row r="354" spans="1:17" x14ac:dyDescent="0.3">
      <c r="A354" t="s">
        <v>17</v>
      </c>
      <c r="B354" t="s">
        <v>18</v>
      </c>
      <c r="C354" t="str">
        <f t="shared" si="48"/>
        <v>400</v>
      </c>
      <c r="D354" t="str">
        <f>"610261"</f>
        <v>610261</v>
      </c>
      <c r="E354" t="s">
        <v>19</v>
      </c>
      <c r="F354" t="s">
        <v>329</v>
      </c>
      <c r="G354">
        <v>250</v>
      </c>
      <c r="H354" t="str">
        <f>""</f>
        <v/>
      </c>
      <c r="I354">
        <v>4.5</v>
      </c>
      <c r="J354">
        <v>0</v>
      </c>
      <c r="K354" t="str">
        <f t="shared" si="44"/>
        <v>31000</v>
      </c>
      <c r="L354" t="str">
        <f>"0"</f>
        <v>0</v>
      </c>
      <c r="M354" t="str">
        <f>"0"</f>
        <v>0</v>
      </c>
      <c r="N354" t="str">
        <f>"0"</f>
        <v>0</v>
      </c>
    </row>
    <row r="355" spans="1:17" x14ac:dyDescent="0.3">
      <c r="A355" t="s">
        <v>17</v>
      </c>
      <c r="B355" t="s">
        <v>18</v>
      </c>
      <c r="C355" t="str">
        <f t="shared" si="48"/>
        <v>400</v>
      </c>
      <c r="D355" t="str">
        <f>"610268"</f>
        <v>610268</v>
      </c>
      <c r="E355" t="s">
        <v>19</v>
      </c>
      <c r="F355" t="s">
        <v>330</v>
      </c>
      <c r="G355">
        <v>250</v>
      </c>
      <c r="I355">
        <v>4.5</v>
      </c>
      <c r="J355">
        <v>0</v>
      </c>
      <c r="K355" t="str">
        <f t="shared" si="44"/>
        <v>31000</v>
      </c>
    </row>
    <row r="356" spans="1:17" x14ac:dyDescent="0.3">
      <c r="A356" t="s">
        <v>17</v>
      </c>
      <c r="B356" t="s">
        <v>18</v>
      </c>
      <c r="C356" t="str">
        <f t="shared" si="48"/>
        <v>400</v>
      </c>
      <c r="D356" t="str">
        <f>"610288"</f>
        <v>610288</v>
      </c>
      <c r="E356" t="s">
        <v>19</v>
      </c>
      <c r="F356" t="s">
        <v>305</v>
      </c>
      <c r="G356">
        <v>250</v>
      </c>
      <c r="I356">
        <v>4.2</v>
      </c>
      <c r="J356">
        <v>0</v>
      </c>
      <c r="K356" t="str">
        <f t="shared" si="44"/>
        <v>31000</v>
      </c>
    </row>
    <row r="357" spans="1:17" x14ac:dyDescent="0.3">
      <c r="A357" t="s">
        <v>17</v>
      </c>
      <c r="B357" t="s">
        <v>18</v>
      </c>
      <c r="C357" t="str">
        <f t="shared" si="48"/>
        <v>400</v>
      </c>
      <c r="D357" t="str">
        <f>"610299"</f>
        <v>610299</v>
      </c>
      <c r="E357" t="s">
        <v>19</v>
      </c>
      <c r="F357" t="s">
        <v>331</v>
      </c>
      <c r="G357">
        <v>250</v>
      </c>
      <c r="H357" t="str">
        <f>""</f>
        <v/>
      </c>
      <c r="I357">
        <v>275.64999999999998</v>
      </c>
      <c r="J357">
        <v>0</v>
      </c>
      <c r="K357" t="str">
        <f t="shared" si="44"/>
        <v>31000</v>
      </c>
      <c r="L357" t="str">
        <f t="shared" ref="L357:N385" si="51">"0"</f>
        <v>0</v>
      </c>
      <c r="M357" t="str">
        <f t="shared" si="51"/>
        <v>0</v>
      </c>
      <c r="N357" t="str">
        <f t="shared" si="51"/>
        <v>0</v>
      </c>
    </row>
    <row r="358" spans="1:17" x14ac:dyDescent="0.3">
      <c r="A358" t="s">
        <v>17</v>
      </c>
      <c r="B358" t="s">
        <v>18</v>
      </c>
      <c r="C358" t="str">
        <f t="shared" si="48"/>
        <v>400</v>
      </c>
      <c r="D358" t="str">
        <f>"610300"</f>
        <v>610300</v>
      </c>
      <c r="E358" t="s">
        <v>19</v>
      </c>
      <c r="F358" t="s">
        <v>332</v>
      </c>
      <c r="G358">
        <v>250</v>
      </c>
      <c r="H358" t="str">
        <f>""</f>
        <v/>
      </c>
      <c r="I358">
        <v>120</v>
      </c>
      <c r="J358">
        <v>0</v>
      </c>
      <c r="K358" t="str">
        <f t="shared" si="44"/>
        <v>31000</v>
      </c>
      <c r="L358" t="str">
        <f t="shared" si="51"/>
        <v>0</v>
      </c>
      <c r="M358" t="str">
        <f t="shared" si="51"/>
        <v>0</v>
      </c>
      <c r="N358" t="str">
        <f t="shared" si="51"/>
        <v>0</v>
      </c>
    </row>
    <row r="359" spans="1:17" x14ac:dyDescent="0.3">
      <c r="A359" t="s">
        <v>17</v>
      </c>
      <c r="B359" t="s">
        <v>18</v>
      </c>
      <c r="C359" t="str">
        <f t="shared" si="48"/>
        <v>400</v>
      </c>
      <c r="D359" t="str">
        <f>"610301"</f>
        <v>610301</v>
      </c>
      <c r="E359" t="s">
        <v>19</v>
      </c>
      <c r="F359" t="s">
        <v>333</v>
      </c>
      <c r="G359">
        <v>250</v>
      </c>
      <c r="H359" t="str">
        <f>""</f>
        <v/>
      </c>
      <c r="I359">
        <v>4.5</v>
      </c>
      <c r="J359">
        <v>0</v>
      </c>
      <c r="K359" t="str">
        <f t="shared" si="44"/>
        <v>31000</v>
      </c>
      <c r="L359" t="str">
        <f t="shared" si="51"/>
        <v>0</v>
      </c>
      <c r="M359" t="str">
        <f t="shared" si="51"/>
        <v>0</v>
      </c>
      <c r="N359" t="str">
        <f t="shared" si="51"/>
        <v>0</v>
      </c>
    </row>
    <row r="360" spans="1:17" x14ac:dyDescent="0.3">
      <c r="A360" t="s">
        <v>17</v>
      </c>
      <c r="B360" t="s">
        <v>18</v>
      </c>
      <c r="C360" t="str">
        <f t="shared" si="48"/>
        <v>400</v>
      </c>
      <c r="D360" t="str">
        <f>"610303"</f>
        <v>610303</v>
      </c>
      <c r="E360" t="s">
        <v>19</v>
      </c>
      <c r="F360" t="s">
        <v>334</v>
      </c>
      <c r="G360">
        <v>250</v>
      </c>
      <c r="H360" t="str">
        <f>""</f>
        <v/>
      </c>
      <c r="I360">
        <v>4.5</v>
      </c>
      <c r="J360">
        <v>0</v>
      </c>
      <c r="K360" t="str">
        <f t="shared" si="44"/>
        <v>31000</v>
      </c>
      <c r="L360" t="str">
        <f t="shared" si="51"/>
        <v>0</v>
      </c>
      <c r="M360" t="str">
        <f t="shared" si="51"/>
        <v>0</v>
      </c>
      <c r="N360" t="str">
        <f t="shared" si="51"/>
        <v>0</v>
      </c>
    </row>
    <row r="361" spans="1:17" x14ac:dyDescent="0.3">
      <c r="A361" t="s">
        <v>17</v>
      </c>
      <c r="B361" t="s">
        <v>18</v>
      </c>
      <c r="C361" t="str">
        <f t="shared" si="48"/>
        <v>400</v>
      </c>
      <c r="D361" t="str">
        <f>"610304"</f>
        <v>610304</v>
      </c>
      <c r="E361" t="s">
        <v>19</v>
      </c>
      <c r="F361" t="s">
        <v>335</v>
      </c>
      <c r="G361">
        <v>250</v>
      </c>
      <c r="H361" t="str">
        <f>""</f>
        <v/>
      </c>
      <c r="I361">
        <v>4.4000000000000004</v>
      </c>
      <c r="J361">
        <v>0</v>
      </c>
      <c r="K361" t="str">
        <f t="shared" si="44"/>
        <v>31000</v>
      </c>
      <c r="L361" t="str">
        <f t="shared" si="51"/>
        <v>0</v>
      </c>
      <c r="M361" t="str">
        <f t="shared" si="51"/>
        <v>0</v>
      </c>
      <c r="N361" t="str">
        <f t="shared" si="51"/>
        <v>0</v>
      </c>
    </row>
    <row r="362" spans="1:17" x14ac:dyDescent="0.3">
      <c r="A362" t="s">
        <v>17</v>
      </c>
      <c r="B362" t="s">
        <v>18</v>
      </c>
      <c r="C362" t="str">
        <f t="shared" si="48"/>
        <v>400</v>
      </c>
      <c r="D362" t="str">
        <f>"610306"</f>
        <v>610306</v>
      </c>
      <c r="E362" t="s">
        <v>19</v>
      </c>
      <c r="F362" t="s">
        <v>336</v>
      </c>
      <c r="G362">
        <v>250</v>
      </c>
      <c r="I362">
        <v>545.87</v>
      </c>
      <c r="J362">
        <v>0</v>
      </c>
      <c r="K362" t="str">
        <f t="shared" si="44"/>
        <v>31000</v>
      </c>
      <c r="L362" t="str">
        <f t="shared" si="51"/>
        <v>0</v>
      </c>
      <c r="M362" t="str">
        <f t="shared" si="51"/>
        <v>0</v>
      </c>
      <c r="N362" t="str">
        <f t="shared" si="51"/>
        <v>0</v>
      </c>
      <c r="P362">
        <v>96.72</v>
      </c>
      <c r="Q362" s="2">
        <v>42909</v>
      </c>
    </row>
    <row r="363" spans="1:17" x14ac:dyDescent="0.3">
      <c r="A363" t="s">
        <v>17</v>
      </c>
      <c r="B363" t="s">
        <v>18</v>
      </c>
      <c r="C363" t="str">
        <f t="shared" si="48"/>
        <v>400</v>
      </c>
      <c r="D363" t="str">
        <f>"610307"</f>
        <v>610307</v>
      </c>
      <c r="E363" t="s">
        <v>19</v>
      </c>
      <c r="F363" t="s">
        <v>337</v>
      </c>
      <c r="G363">
        <v>250</v>
      </c>
      <c r="H363" t="str">
        <f>""</f>
        <v/>
      </c>
      <c r="I363">
        <v>4.5</v>
      </c>
      <c r="J363">
        <v>0</v>
      </c>
      <c r="K363" t="str">
        <f t="shared" ref="K363:K426" si="52">"31000"</f>
        <v>31000</v>
      </c>
      <c r="L363" t="str">
        <f t="shared" si="51"/>
        <v>0</v>
      </c>
      <c r="M363" t="str">
        <f t="shared" si="51"/>
        <v>0</v>
      </c>
      <c r="N363" t="str">
        <f t="shared" si="51"/>
        <v>0</v>
      </c>
    </row>
    <row r="364" spans="1:17" x14ac:dyDescent="0.3">
      <c r="A364" t="s">
        <v>17</v>
      </c>
      <c r="B364" t="s">
        <v>18</v>
      </c>
      <c r="C364" t="str">
        <f t="shared" si="48"/>
        <v>400</v>
      </c>
      <c r="D364" t="str">
        <f>"610311"</f>
        <v>610311</v>
      </c>
      <c r="E364" t="s">
        <v>19</v>
      </c>
      <c r="F364" t="s">
        <v>338</v>
      </c>
      <c r="G364">
        <v>250</v>
      </c>
      <c r="H364" t="str">
        <f>""</f>
        <v/>
      </c>
      <c r="I364">
        <v>12.75</v>
      </c>
      <c r="J364">
        <v>0</v>
      </c>
      <c r="K364" t="str">
        <f t="shared" si="52"/>
        <v>31000</v>
      </c>
      <c r="L364" t="str">
        <f t="shared" si="51"/>
        <v>0</v>
      </c>
      <c r="M364" t="str">
        <f t="shared" si="51"/>
        <v>0</v>
      </c>
      <c r="N364" t="str">
        <f t="shared" si="51"/>
        <v>0</v>
      </c>
    </row>
    <row r="365" spans="1:17" x14ac:dyDescent="0.3">
      <c r="A365" t="s">
        <v>17</v>
      </c>
      <c r="B365" t="s">
        <v>18</v>
      </c>
      <c r="C365" t="str">
        <f t="shared" si="48"/>
        <v>400</v>
      </c>
      <c r="D365" t="str">
        <f>"610312"</f>
        <v>610312</v>
      </c>
      <c r="E365" t="s">
        <v>19</v>
      </c>
      <c r="F365" t="s">
        <v>339</v>
      </c>
      <c r="G365">
        <v>250</v>
      </c>
      <c r="H365" t="str">
        <f>""</f>
        <v/>
      </c>
      <c r="I365">
        <v>4.5</v>
      </c>
      <c r="J365">
        <v>0</v>
      </c>
      <c r="K365" t="str">
        <f t="shared" si="52"/>
        <v>31000</v>
      </c>
      <c r="L365" t="str">
        <f t="shared" si="51"/>
        <v>0</v>
      </c>
      <c r="M365" t="str">
        <f t="shared" si="51"/>
        <v>0</v>
      </c>
      <c r="N365" t="str">
        <f t="shared" si="51"/>
        <v>0</v>
      </c>
    </row>
    <row r="366" spans="1:17" x14ac:dyDescent="0.3">
      <c r="A366" t="s">
        <v>17</v>
      </c>
      <c r="B366" t="s">
        <v>18</v>
      </c>
      <c r="C366" t="str">
        <f t="shared" si="48"/>
        <v>400</v>
      </c>
      <c r="D366" t="str">
        <f>"610313"</f>
        <v>610313</v>
      </c>
      <c r="E366" t="s">
        <v>19</v>
      </c>
      <c r="F366" t="s">
        <v>340</v>
      </c>
      <c r="G366">
        <v>250</v>
      </c>
      <c r="H366" t="str">
        <f>""</f>
        <v/>
      </c>
      <c r="I366">
        <v>72</v>
      </c>
      <c r="J366">
        <v>0</v>
      </c>
      <c r="K366" t="str">
        <f t="shared" si="52"/>
        <v>31000</v>
      </c>
      <c r="L366" t="str">
        <f t="shared" si="51"/>
        <v>0</v>
      </c>
      <c r="M366" t="str">
        <f t="shared" si="51"/>
        <v>0</v>
      </c>
      <c r="N366" t="str">
        <f t="shared" si="51"/>
        <v>0</v>
      </c>
    </row>
    <row r="367" spans="1:17" x14ac:dyDescent="0.3">
      <c r="A367" t="s">
        <v>17</v>
      </c>
      <c r="B367" t="s">
        <v>18</v>
      </c>
      <c r="C367" t="str">
        <f t="shared" si="48"/>
        <v>400</v>
      </c>
      <c r="D367" t="str">
        <f>"610314"</f>
        <v>610314</v>
      </c>
      <c r="E367" t="s">
        <v>19</v>
      </c>
      <c r="F367" t="s">
        <v>341</v>
      </c>
      <c r="G367">
        <v>250</v>
      </c>
      <c r="H367" t="str">
        <f>""</f>
        <v/>
      </c>
      <c r="I367">
        <v>2.5</v>
      </c>
      <c r="J367">
        <v>0</v>
      </c>
      <c r="K367" t="str">
        <f t="shared" si="52"/>
        <v>31000</v>
      </c>
      <c r="L367" t="str">
        <f t="shared" si="51"/>
        <v>0</v>
      </c>
      <c r="M367" t="str">
        <f t="shared" si="51"/>
        <v>0</v>
      </c>
      <c r="N367" t="str">
        <f t="shared" si="51"/>
        <v>0</v>
      </c>
    </row>
    <row r="368" spans="1:17" x14ac:dyDescent="0.3">
      <c r="A368" t="s">
        <v>17</v>
      </c>
      <c r="B368" t="s">
        <v>18</v>
      </c>
      <c r="C368" t="str">
        <f t="shared" si="48"/>
        <v>400</v>
      </c>
      <c r="D368" t="str">
        <f>"610315"</f>
        <v>610315</v>
      </c>
      <c r="E368" t="s">
        <v>19</v>
      </c>
      <c r="F368" t="s">
        <v>342</v>
      </c>
      <c r="G368">
        <v>250</v>
      </c>
      <c r="H368" t="str">
        <f>""</f>
        <v/>
      </c>
      <c r="I368">
        <v>4.5</v>
      </c>
      <c r="J368">
        <v>0</v>
      </c>
      <c r="K368" t="str">
        <f t="shared" si="52"/>
        <v>31000</v>
      </c>
      <c r="L368" t="str">
        <f t="shared" si="51"/>
        <v>0</v>
      </c>
      <c r="M368" t="str">
        <f t="shared" si="51"/>
        <v>0</v>
      </c>
      <c r="N368" t="str">
        <f t="shared" si="51"/>
        <v>0</v>
      </c>
    </row>
    <row r="369" spans="1:14" x14ac:dyDescent="0.3">
      <c r="A369" t="s">
        <v>17</v>
      </c>
      <c r="B369" t="s">
        <v>18</v>
      </c>
      <c r="C369" t="str">
        <f t="shared" si="48"/>
        <v>400</v>
      </c>
      <c r="D369" t="str">
        <f>"610316"</f>
        <v>610316</v>
      </c>
      <c r="E369" t="s">
        <v>19</v>
      </c>
      <c r="F369" t="s">
        <v>343</v>
      </c>
      <c r="G369">
        <v>250</v>
      </c>
      <c r="H369" t="str">
        <f>""</f>
        <v/>
      </c>
      <c r="I369">
        <v>4.5</v>
      </c>
      <c r="J369">
        <v>0</v>
      </c>
      <c r="K369" t="str">
        <f t="shared" si="52"/>
        <v>31000</v>
      </c>
      <c r="L369" t="str">
        <f t="shared" si="51"/>
        <v>0</v>
      </c>
      <c r="M369" t="str">
        <f t="shared" si="51"/>
        <v>0</v>
      </c>
      <c r="N369" t="str">
        <f t="shared" si="51"/>
        <v>0</v>
      </c>
    </row>
    <row r="370" spans="1:14" x14ac:dyDescent="0.3">
      <c r="A370" t="s">
        <v>17</v>
      </c>
      <c r="B370" t="s">
        <v>18</v>
      </c>
      <c r="C370" t="str">
        <f t="shared" si="48"/>
        <v>400</v>
      </c>
      <c r="D370" t="str">
        <f>"610317"</f>
        <v>610317</v>
      </c>
      <c r="E370" t="s">
        <v>19</v>
      </c>
      <c r="F370" t="s">
        <v>344</v>
      </c>
      <c r="G370">
        <v>250</v>
      </c>
      <c r="H370" t="str">
        <f>""</f>
        <v/>
      </c>
      <c r="I370">
        <v>4.5</v>
      </c>
      <c r="J370">
        <v>0</v>
      </c>
      <c r="K370" t="str">
        <f t="shared" si="52"/>
        <v>31000</v>
      </c>
      <c r="L370" t="str">
        <f t="shared" si="51"/>
        <v>0</v>
      </c>
      <c r="M370" t="str">
        <f t="shared" si="51"/>
        <v>0</v>
      </c>
      <c r="N370" t="str">
        <f t="shared" si="51"/>
        <v>0</v>
      </c>
    </row>
    <row r="371" spans="1:14" x14ac:dyDescent="0.3">
      <c r="A371" t="s">
        <v>17</v>
      </c>
      <c r="B371" t="s">
        <v>18</v>
      </c>
      <c r="C371" t="str">
        <f t="shared" si="48"/>
        <v>400</v>
      </c>
      <c r="D371" t="str">
        <f>"610318"</f>
        <v>610318</v>
      </c>
      <c r="E371" t="s">
        <v>19</v>
      </c>
      <c r="F371" t="s">
        <v>345</v>
      </c>
      <c r="G371">
        <v>250</v>
      </c>
      <c r="H371" t="str">
        <f>""</f>
        <v/>
      </c>
      <c r="I371">
        <v>4.5</v>
      </c>
      <c r="J371">
        <v>0</v>
      </c>
      <c r="K371" t="str">
        <f t="shared" si="52"/>
        <v>31000</v>
      </c>
      <c r="L371" t="str">
        <f t="shared" si="51"/>
        <v>0</v>
      </c>
      <c r="M371" t="str">
        <f t="shared" si="51"/>
        <v>0</v>
      </c>
      <c r="N371" t="str">
        <f t="shared" si="51"/>
        <v>0</v>
      </c>
    </row>
    <row r="372" spans="1:14" x14ac:dyDescent="0.3">
      <c r="A372" t="s">
        <v>17</v>
      </c>
      <c r="B372" t="s">
        <v>18</v>
      </c>
      <c r="C372" t="str">
        <f t="shared" si="48"/>
        <v>400</v>
      </c>
      <c r="D372" t="str">
        <f>"610320"</f>
        <v>610320</v>
      </c>
      <c r="E372" t="s">
        <v>19</v>
      </c>
      <c r="F372" t="s">
        <v>346</v>
      </c>
      <c r="G372">
        <v>250</v>
      </c>
      <c r="H372" t="str">
        <f>""</f>
        <v/>
      </c>
      <c r="I372">
        <v>5.97</v>
      </c>
      <c r="J372">
        <v>0</v>
      </c>
      <c r="K372" t="str">
        <f t="shared" si="52"/>
        <v>31000</v>
      </c>
      <c r="L372" t="str">
        <f t="shared" si="51"/>
        <v>0</v>
      </c>
      <c r="M372" t="str">
        <f t="shared" si="51"/>
        <v>0</v>
      </c>
      <c r="N372" t="str">
        <f t="shared" si="51"/>
        <v>0</v>
      </c>
    </row>
    <row r="373" spans="1:14" x14ac:dyDescent="0.3">
      <c r="A373" t="s">
        <v>17</v>
      </c>
      <c r="B373" t="s">
        <v>18</v>
      </c>
      <c r="C373" t="str">
        <f t="shared" si="48"/>
        <v>400</v>
      </c>
      <c r="D373" t="str">
        <f>"610321"</f>
        <v>610321</v>
      </c>
      <c r="E373" t="s">
        <v>19</v>
      </c>
      <c r="F373" t="s">
        <v>347</v>
      </c>
      <c r="G373">
        <v>250</v>
      </c>
      <c r="H373" t="str">
        <f>""</f>
        <v/>
      </c>
      <c r="I373">
        <v>2.5</v>
      </c>
      <c r="J373">
        <v>0</v>
      </c>
      <c r="K373" t="str">
        <f t="shared" si="52"/>
        <v>31000</v>
      </c>
      <c r="L373" t="str">
        <f t="shared" si="51"/>
        <v>0</v>
      </c>
      <c r="M373" t="str">
        <f t="shared" si="51"/>
        <v>0</v>
      </c>
      <c r="N373" t="str">
        <f t="shared" si="51"/>
        <v>0</v>
      </c>
    </row>
    <row r="374" spans="1:14" x14ac:dyDescent="0.3">
      <c r="A374" t="s">
        <v>17</v>
      </c>
      <c r="B374" t="s">
        <v>18</v>
      </c>
      <c r="C374" t="str">
        <f t="shared" si="48"/>
        <v>400</v>
      </c>
      <c r="D374" t="str">
        <f>"610322"</f>
        <v>610322</v>
      </c>
      <c r="E374" t="s">
        <v>19</v>
      </c>
      <c r="F374" t="s">
        <v>348</v>
      </c>
      <c r="G374">
        <v>250</v>
      </c>
      <c r="H374" t="str">
        <f>""</f>
        <v/>
      </c>
      <c r="I374">
        <v>4.5</v>
      </c>
      <c r="J374">
        <v>0</v>
      </c>
      <c r="K374" t="str">
        <f t="shared" si="52"/>
        <v>31000</v>
      </c>
      <c r="L374" t="str">
        <f t="shared" si="51"/>
        <v>0</v>
      </c>
      <c r="M374" t="str">
        <f t="shared" si="51"/>
        <v>0</v>
      </c>
      <c r="N374" t="str">
        <f t="shared" si="51"/>
        <v>0</v>
      </c>
    </row>
    <row r="375" spans="1:14" x14ac:dyDescent="0.3">
      <c r="A375" t="s">
        <v>17</v>
      </c>
      <c r="B375" t="s">
        <v>18</v>
      </c>
      <c r="C375" t="str">
        <f t="shared" si="48"/>
        <v>400</v>
      </c>
      <c r="D375" t="str">
        <f>"610324"</f>
        <v>610324</v>
      </c>
      <c r="E375" t="s">
        <v>19</v>
      </c>
      <c r="F375" t="s">
        <v>349</v>
      </c>
      <c r="G375">
        <v>250</v>
      </c>
      <c r="H375" t="str">
        <f>""</f>
        <v/>
      </c>
      <c r="I375">
        <v>2.5</v>
      </c>
      <c r="J375">
        <v>0</v>
      </c>
      <c r="K375" t="str">
        <f t="shared" si="52"/>
        <v>31000</v>
      </c>
      <c r="L375" t="str">
        <f t="shared" si="51"/>
        <v>0</v>
      </c>
      <c r="M375" t="str">
        <f t="shared" si="51"/>
        <v>0</v>
      </c>
      <c r="N375" t="str">
        <f t="shared" si="51"/>
        <v>0</v>
      </c>
    </row>
    <row r="376" spans="1:14" x14ac:dyDescent="0.3">
      <c r="A376" t="s">
        <v>17</v>
      </c>
      <c r="B376" t="s">
        <v>18</v>
      </c>
      <c r="C376" t="str">
        <f t="shared" si="48"/>
        <v>400</v>
      </c>
      <c r="D376" t="str">
        <f>"610325"</f>
        <v>610325</v>
      </c>
      <c r="E376" t="s">
        <v>19</v>
      </c>
      <c r="F376" t="s">
        <v>350</v>
      </c>
      <c r="G376">
        <v>250</v>
      </c>
      <c r="H376" t="str">
        <f>""</f>
        <v/>
      </c>
      <c r="I376">
        <v>5.5</v>
      </c>
      <c r="J376">
        <v>0</v>
      </c>
      <c r="K376" t="str">
        <f t="shared" si="52"/>
        <v>31000</v>
      </c>
      <c r="L376" t="str">
        <f t="shared" si="51"/>
        <v>0</v>
      </c>
      <c r="M376" t="str">
        <f t="shared" si="51"/>
        <v>0</v>
      </c>
      <c r="N376" t="str">
        <f t="shared" si="51"/>
        <v>0</v>
      </c>
    </row>
    <row r="377" spans="1:14" x14ac:dyDescent="0.3">
      <c r="A377" t="s">
        <v>17</v>
      </c>
      <c r="B377" t="s">
        <v>18</v>
      </c>
      <c r="C377" t="str">
        <f t="shared" si="48"/>
        <v>400</v>
      </c>
      <c r="D377" t="str">
        <f>"610326"</f>
        <v>610326</v>
      </c>
      <c r="E377" t="s">
        <v>19</v>
      </c>
      <c r="F377" t="s">
        <v>351</v>
      </c>
      <c r="G377">
        <v>250</v>
      </c>
      <c r="H377" t="str">
        <f>""</f>
        <v/>
      </c>
      <c r="I377">
        <v>6.3</v>
      </c>
      <c r="J377">
        <v>0</v>
      </c>
      <c r="K377" t="str">
        <f t="shared" si="52"/>
        <v>31000</v>
      </c>
      <c r="L377" t="str">
        <f t="shared" si="51"/>
        <v>0</v>
      </c>
      <c r="M377" t="str">
        <f t="shared" si="51"/>
        <v>0</v>
      </c>
      <c r="N377" t="str">
        <f t="shared" si="51"/>
        <v>0</v>
      </c>
    </row>
    <row r="378" spans="1:14" x14ac:dyDescent="0.3">
      <c r="A378" t="s">
        <v>17</v>
      </c>
      <c r="B378" t="s">
        <v>18</v>
      </c>
      <c r="C378" t="str">
        <f t="shared" si="48"/>
        <v>400</v>
      </c>
      <c r="D378" t="str">
        <f>"610327"</f>
        <v>610327</v>
      </c>
      <c r="E378" t="s">
        <v>19</v>
      </c>
      <c r="F378" t="s">
        <v>352</v>
      </c>
      <c r="G378">
        <v>250</v>
      </c>
      <c r="H378" t="str">
        <f>""</f>
        <v/>
      </c>
      <c r="I378">
        <v>2.5</v>
      </c>
      <c r="J378">
        <v>0</v>
      </c>
      <c r="K378" t="str">
        <f t="shared" si="52"/>
        <v>31000</v>
      </c>
      <c r="L378" t="str">
        <f t="shared" si="51"/>
        <v>0</v>
      </c>
      <c r="M378" t="str">
        <f t="shared" si="51"/>
        <v>0</v>
      </c>
      <c r="N378" t="str">
        <f t="shared" si="51"/>
        <v>0</v>
      </c>
    </row>
    <row r="379" spans="1:14" x14ac:dyDescent="0.3">
      <c r="A379" t="s">
        <v>17</v>
      </c>
      <c r="B379" t="s">
        <v>18</v>
      </c>
      <c r="C379" t="str">
        <f t="shared" si="48"/>
        <v>400</v>
      </c>
      <c r="D379" t="str">
        <f>"610328"</f>
        <v>610328</v>
      </c>
      <c r="E379" t="s">
        <v>19</v>
      </c>
      <c r="F379" t="s">
        <v>353</v>
      </c>
      <c r="G379">
        <v>250</v>
      </c>
      <c r="H379" t="str">
        <f>""</f>
        <v/>
      </c>
      <c r="I379">
        <v>4.5</v>
      </c>
      <c r="J379">
        <v>0</v>
      </c>
      <c r="K379" t="str">
        <f t="shared" si="52"/>
        <v>31000</v>
      </c>
      <c r="L379" t="str">
        <f t="shared" si="51"/>
        <v>0</v>
      </c>
      <c r="M379" t="str">
        <f t="shared" si="51"/>
        <v>0</v>
      </c>
      <c r="N379" t="str">
        <f t="shared" si="51"/>
        <v>0</v>
      </c>
    </row>
    <row r="380" spans="1:14" x14ac:dyDescent="0.3">
      <c r="A380" t="s">
        <v>17</v>
      </c>
      <c r="B380" t="s">
        <v>18</v>
      </c>
      <c r="C380" t="str">
        <f t="shared" si="48"/>
        <v>400</v>
      </c>
      <c r="D380" t="str">
        <f>"610332"</f>
        <v>610332</v>
      </c>
      <c r="E380" t="s">
        <v>19</v>
      </c>
      <c r="F380" t="s">
        <v>354</v>
      </c>
      <c r="G380">
        <v>250</v>
      </c>
      <c r="H380" t="str">
        <f>""</f>
        <v/>
      </c>
      <c r="I380">
        <v>4.5</v>
      </c>
      <c r="J380">
        <v>0</v>
      </c>
      <c r="K380" t="str">
        <f t="shared" si="52"/>
        <v>31000</v>
      </c>
      <c r="L380" t="str">
        <f t="shared" si="51"/>
        <v>0</v>
      </c>
      <c r="M380" t="str">
        <f t="shared" si="51"/>
        <v>0</v>
      </c>
      <c r="N380" t="str">
        <f t="shared" si="51"/>
        <v>0</v>
      </c>
    </row>
    <row r="381" spans="1:14" x14ac:dyDescent="0.3">
      <c r="A381" t="s">
        <v>17</v>
      </c>
      <c r="B381" t="s">
        <v>18</v>
      </c>
      <c r="C381" t="str">
        <f t="shared" si="48"/>
        <v>400</v>
      </c>
      <c r="D381" t="str">
        <f>"610341"</f>
        <v>610341</v>
      </c>
      <c r="E381" t="s">
        <v>19</v>
      </c>
      <c r="F381" t="s">
        <v>355</v>
      </c>
      <c r="G381">
        <v>250</v>
      </c>
      <c r="H381" t="str">
        <f>""</f>
        <v/>
      </c>
      <c r="I381">
        <v>4.5</v>
      </c>
      <c r="J381">
        <v>0</v>
      </c>
      <c r="K381" t="str">
        <f t="shared" si="52"/>
        <v>31000</v>
      </c>
      <c r="L381" t="str">
        <f t="shared" si="51"/>
        <v>0</v>
      </c>
      <c r="M381" t="str">
        <f t="shared" si="51"/>
        <v>0</v>
      </c>
      <c r="N381" t="str">
        <f t="shared" si="51"/>
        <v>0</v>
      </c>
    </row>
    <row r="382" spans="1:14" x14ac:dyDescent="0.3">
      <c r="A382" t="s">
        <v>17</v>
      </c>
      <c r="B382" t="s">
        <v>18</v>
      </c>
      <c r="C382" t="str">
        <f t="shared" si="48"/>
        <v>400</v>
      </c>
      <c r="D382" t="str">
        <f>"610342"</f>
        <v>610342</v>
      </c>
      <c r="E382" t="s">
        <v>19</v>
      </c>
      <c r="F382" t="s">
        <v>356</v>
      </c>
      <c r="G382">
        <v>250</v>
      </c>
      <c r="H382" t="str">
        <f>""</f>
        <v/>
      </c>
      <c r="I382">
        <v>4.5</v>
      </c>
      <c r="J382">
        <v>0</v>
      </c>
      <c r="K382" t="str">
        <f t="shared" si="52"/>
        <v>31000</v>
      </c>
      <c r="L382" t="str">
        <f t="shared" si="51"/>
        <v>0</v>
      </c>
      <c r="M382" t="str">
        <f t="shared" si="51"/>
        <v>0</v>
      </c>
      <c r="N382" t="str">
        <f t="shared" si="51"/>
        <v>0</v>
      </c>
    </row>
    <row r="383" spans="1:14" x14ac:dyDescent="0.3">
      <c r="A383" t="s">
        <v>17</v>
      </c>
      <c r="B383" t="s">
        <v>18</v>
      </c>
      <c r="C383" t="str">
        <f t="shared" si="48"/>
        <v>400</v>
      </c>
      <c r="D383" t="str">
        <f>"610343"</f>
        <v>610343</v>
      </c>
      <c r="E383" t="s">
        <v>19</v>
      </c>
      <c r="F383" t="s">
        <v>357</v>
      </c>
      <c r="G383">
        <v>250</v>
      </c>
      <c r="H383" t="str">
        <f>""</f>
        <v/>
      </c>
      <c r="I383">
        <v>26.25</v>
      </c>
      <c r="J383">
        <v>0</v>
      </c>
      <c r="K383" t="str">
        <f t="shared" si="52"/>
        <v>31000</v>
      </c>
      <c r="L383" t="str">
        <f t="shared" si="51"/>
        <v>0</v>
      </c>
      <c r="M383" t="str">
        <f t="shared" si="51"/>
        <v>0</v>
      </c>
      <c r="N383" t="str">
        <f t="shared" si="51"/>
        <v>0</v>
      </c>
    </row>
    <row r="384" spans="1:14" x14ac:dyDescent="0.3">
      <c r="A384" t="s">
        <v>17</v>
      </c>
      <c r="B384" t="s">
        <v>18</v>
      </c>
      <c r="C384" t="str">
        <f t="shared" si="48"/>
        <v>400</v>
      </c>
      <c r="D384" t="str">
        <f>"610344"</f>
        <v>610344</v>
      </c>
      <c r="E384" t="s">
        <v>19</v>
      </c>
      <c r="F384" t="s">
        <v>358</v>
      </c>
      <c r="G384">
        <v>250</v>
      </c>
      <c r="H384" t="str">
        <f>""</f>
        <v/>
      </c>
      <c r="I384">
        <v>75</v>
      </c>
      <c r="J384">
        <v>0</v>
      </c>
      <c r="K384" t="str">
        <f t="shared" si="52"/>
        <v>31000</v>
      </c>
      <c r="L384" t="str">
        <f t="shared" si="51"/>
        <v>0</v>
      </c>
      <c r="M384" t="str">
        <f t="shared" si="51"/>
        <v>0</v>
      </c>
      <c r="N384" t="str">
        <f t="shared" si="51"/>
        <v>0</v>
      </c>
    </row>
    <row r="385" spans="1:14" x14ac:dyDescent="0.3">
      <c r="A385" t="s">
        <v>17</v>
      </c>
      <c r="B385" t="s">
        <v>18</v>
      </c>
      <c r="C385" t="str">
        <f t="shared" si="48"/>
        <v>400</v>
      </c>
      <c r="D385" t="str">
        <f>"610345"</f>
        <v>610345</v>
      </c>
      <c r="E385" t="s">
        <v>19</v>
      </c>
      <c r="F385" t="s">
        <v>359</v>
      </c>
      <c r="G385">
        <v>250</v>
      </c>
      <c r="H385" t="str">
        <f>""</f>
        <v/>
      </c>
      <c r="I385">
        <v>12.5</v>
      </c>
      <c r="J385">
        <v>0</v>
      </c>
      <c r="K385" t="str">
        <f t="shared" si="52"/>
        <v>31000</v>
      </c>
      <c r="L385" t="str">
        <f t="shared" si="51"/>
        <v>0</v>
      </c>
      <c r="M385" t="str">
        <f t="shared" si="51"/>
        <v>0</v>
      </c>
      <c r="N385" t="str">
        <f t="shared" si="51"/>
        <v>0</v>
      </c>
    </row>
    <row r="386" spans="1:14" x14ac:dyDescent="0.3">
      <c r="A386" t="s">
        <v>17</v>
      </c>
      <c r="B386" t="s">
        <v>18</v>
      </c>
      <c r="C386" t="str">
        <f t="shared" ref="C386:C449" si="53">"400"</f>
        <v>400</v>
      </c>
      <c r="D386" t="str">
        <f>"610346"</f>
        <v>610346</v>
      </c>
      <c r="E386" t="s">
        <v>19</v>
      </c>
      <c r="F386" t="s">
        <v>360</v>
      </c>
      <c r="G386">
        <v>250</v>
      </c>
      <c r="I386">
        <v>9.81</v>
      </c>
      <c r="J386">
        <v>0</v>
      </c>
      <c r="K386" t="str">
        <f t="shared" si="52"/>
        <v>31000</v>
      </c>
    </row>
    <row r="387" spans="1:14" x14ac:dyDescent="0.3">
      <c r="A387" t="s">
        <v>17</v>
      </c>
      <c r="B387" t="s">
        <v>18</v>
      </c>
      <c r="C387" t="str">
        <f t="shared" si="53"/>
        <v>400</v>
      </c>
      <c r="D387" t="str">
        <f>"610350"</f>
        <v>610350</v>
      </c>
      <c r="E387" t="s">
        <v>19</v>
      </c>
      <c r="F387" t="s">
        <v>361</v>
      </c>
      <c r="G387">
        <v>250</v>
      </c>
      <c r="H387" t="str">
        <f>""</f>
        <v/>
      </c>
      <c r="I387">
        <v>12.75</v>
      </c>
      <c r="J387">
        <v>0</v>
      </c>
      <c r="K387" t="str">
        <f t="shared" si="52"/>
        <v>31000</v>
      </c>
      <c r="L387" t="str">
        <f t="shared" ref="L387:N395" si="54">"0"</f>
        <v>0</v>
      </c>
      <c r="M387" t="str">
        <f t="shared" si="54"/>
        <v>0</v>
      </c>
      <c r="N387" t="str">
        <f t="shared" si="54"/>
        <v>0</v>
      </c>
    </row>
    <row r="388" spans="1:14" x14ac:dyDescent="0.3">
      <c r="A388" t="s">
        <v>17</v>
      </c>
      <c r="B388" t="s">
        <v>18</v>
      </c>
      <c r="C388" t="str">
        <f t="shared" si="53"/>
        <v>400</v>
      </c>
      <c r="D388" t="str">
        <f>"610351"</f>
        <v>610351</v>
      </c>
      <c r="E388" t="s">
        <v>19</v>
      </c>
      <c r="F388" t="s">
        <v>362</v>
      </c>
      <c r="G388">
        <v>250</v>
      </c>
      <c r="H388" t="str">
        <f>""</f>
        <v/>
      </c>
      <c r="I388">
        <v>6</v>
      </c>
      <c r="J388">
        <v>0</v>
      </c>
      <c r="K388" t="str">
        <f t="shared" si="52"/>
        <v>31000</v>
      </c>
      <c r="L388" t="str">
        <f t="shared" si="54"/>
        <v>0</v>
      </c>
      <c r="M388" t="str">
        <f t="shared" si="54"/>
        <v>0</v>
      </c>
      <c r="N388" t="str">
        <f t="shared" si="54"/>
        <v>0</v>
      </c>
    </row>
    <row r="389" spans="1:14" x14ac:dyDescent="0.3">
      <c r="A389" t="s">
        <v>17</v>
      </c>
      <c r="B389" t="s">
        <v>18</v>
      </c>
      <c r="C389" t="str">
        <f t="shared" si="53"/>
        <v>400</v>
      </c>
      <c r="D389" t="str">
        <f>"610352"</f>
        <v>610352</v>
      </c>
      <c r="E389" t="s">
        <v>19</v>
      </c>
      <c r="F389" t="s">
        <v>363</v>
      </c>
      <c r="G389">
        <v>250</v>
      </c>
      <c r="H389" t="str">
        <f>""</f>
        <v/>
      </c>
      <c r="I389">
        <v>127</v>
      </c>
      <c r="J389">
        <v>0</v>
      </c>
      <c r="K389" t="str">
        <f t="shared" si="52"/>
        <v>31000</v>
      </c>
      <c r="L389" t="str">
        <f t="shared" si="54"/>
        <v>0</v>
      </c>
      <c r="M389" t="str">
        <f t="shared" si="54"/>
        <v>0</v>
      </c>
      <c r="N389" t="str">
        <f t="shared" si="54"/>
        <v>0</v>
      </c>
    </row>
    <row r="390" spans="1:14" x14ac:dyDescent="0.3">
      <c r="A390" t="s">
        <v>17</v>
      </c>
      <c r="B390" t="s">
        <v>18</v>
      </c>
      <c r="C390" t="str">
        <f t="shared" si="53"/>
        <v>400</v>
      </c>
      <c r="D390" t="str">
        <f>"610354"</f>
        <v>610354</v>
      </c>
      <c r="E390" t="s">
        <v>19</v>
      </c>
      <c r="F390" t="s">
        <v>364</v>
      </c>
      <c r="G390">
        <v>250</v>
      </c>
      <c r="H390" t="str">
        <f>""</f>
        <v/>
      </c>
      <c r="I390">
        <v>4.5</v>
      </c>
      <c r="J390">
        <v>0</v>
      </c>
      <c r="K390" t="str">
        <f t="shared" si="52"/>
        <v>31000</v>
      </c>
      <c r="L390" t="str">
        <f t="shared" si="54"/>
        <v>0</v>
      </c>
      <c r="M390" t="str">
        <f t="shared" si="54"/>
        <v>0</v>
      </c>
      <c r="N390" t="str">
        <f t="shared" si="54"/>
        <v>0</v>
      </c>
    </row>
    <row r="391" spans="1:14" x14ac:dyDescent="0.3">
      <c r="A391" t="s">
        <v>17</v>
      </c>
      <c r="B391" t="s">
        <v>18</v>
      </c>
      <c r="C391" t="str">
        <f t="shared" si="53"/>
        <v>400</v>
      </c>
      <c r="D391" t="str">
        <f>"610356"</f>
        <v>610356</v>
      </c>
      <c r="E391" t="s">
        <v>19</v>
      </c>
      <c r="F391" t="s">
        <v>365</v>
      </c>
      <c r="G391">
        <v>250</v>
      </c>
      <c r="H391" t="str">
        <f>""</f>
        <v/>
      </c>
      <c r="I391">
        <v>18</v>
      </c>
      <c r="J391">
        <v>0</v>
      </c>
      <c r="K391" t="str">
        <f t="shared" si="52"/>
        <v>31000</v>
      </c>
      <c r="L391" t="str">
        <f t="shared" si="54"/>
        <v>0</v>
      </c>
      <c r="M391" t="str">
        <f t="shared" si="54"/>
        <v>0</v>
      </c>
      <c r="N391" t="str">
        <f t="shared" si="54"/>
        <v>0</v>
      </c>
    </row>
    <row r="392" spans="1:14" x14ac:dyDescent="0.3">
      <c r="A392" t="s">
        <v>17</v>
      </c>
      <c r="B392" t="s">
        <v>18</v>
      </c>
      <c r="C392" t="str">
        <f t="shared" si="53"/>
        <v>400</v>
      </c>
      <c r="D392" t="str">
        <f>"610357"</f>
        <v>610357</v>
      </c>
      <c r="E392" t="s">
        <v>19</v>
      </c>
      <c r="F392" t="s">
        <v>366</v>
      </c>
      <c r="G392">
        <v>250</v>
      </c>
      <c r="H392" t="str">
        <f>""</f>
        <v/>
      </c>
      <c r="I392">
        <v>18</v>
      </c>
      <c r="J392">
        <v>0</v>
      </c>
      <c r="K392" t="str">
        <f t="shared" si="52"/>
        <v>31000</v>
      </c>
      <c r="L392" t="str">
        <f t="shared" si="54"/>
        <v>0</v>
      </c>
      <c r="M392" t="str">
        <f t="shared" si="54"/>
        <v>0</v>
      </c>
      <c r="N392" t="str">
        <f t="shared" si="54"/>
        <v>0</v>
      </c>
    </row>
    <row r="393" spans="1:14" x14ac:dyDescent="0.3">
      <c r="A393" t="s">
        <v>17</v>
      </c>
      <c r="B393" t="s">
        <v>18</v>
      </c>
      <c r="C393" t="str">
        <f t="shared" si="53"/>
        <v>400</v>
      </c>
      <c r="D393" t="str">
        <f>"610358"</f>
        <v>610358</v>
      </c>
      <c r="E393" t="s">
        <v>19</v>
      </c>
      <c r="F393" t="s">
        <v>367</v>
      </c>
      <c r="G393">
        <v>250</v>
      </c>
      <c r="H393" t="str">
        <f>""</f>
        <v/>
      </c>
      <c r="I393">
        <v>36</v>
      </c>
      <c r="J393">
        <v>0</v>
      </c>
      <c r="K393" t="str">
        <f t="shared" si="52"/>
        <v>31000</v>
      </c>
      <c r="L393" t="str">
        <f t="shared" si="54"/>
        <v>0</v>
      </c>
      <c r="M393" t="str">
        <f t="shared" si="54"/>
        <v>0</v>
      </c>
      <c r="N393" t="str">
        <f t="shared" si="54"/>
        <v>0</v>
      </c>
    </row>
    <row r="394" spans="1:14" x14ac:dyDescent="0.3">
      <c r="A394" t="s">
        <v>17</v>
      </c>
      <c r="B394" t="s">
        <v>18</v>
      </c>
      <c r="C394" t="str">
        <f t="shared" si="53"/>
        <v>400</v>
      </c>
      <c r="D394" t="str">
        <f>"610360"</f>
        <v>610360</v>
      </c>
      <c r="E394" t="s">
        <v>19</v>
      </c>
      <c r="F394" t="s">
        <v>368</v>
      </c>
      <c r="G394">
        <v>250</v>
      </c>
      <c r="H394" t="str">
        <f>""</f>
        <v/>
      </c>
      <c r="I394">
        <v>64</v>
      </c>
      <c r="J394">
        <v>0</v>
      </c>
      <c r="K394" t="str">
        <f t="shared" si="52"/>
        <v>31000</v>
      </c>
      <c r="L394" t="str">
        <f t="shared" si="54"/>
        <v>0</v>
      </c>
      <c r="M394" t="str">
        <f t="shared" si="54"/>
        <v>0</v>
      </c>
      <c r="N394" t="str">
        <f t="shared" si="54"/>
        <v>0</v>
      </c>
    </row>
    <row r="395" spans="1:14" x14ac:dyDescent="0.3">
      <c r="A395" t="s">
        <v>17</v>
      </c>
      <c r="B395" t="s">
        <v>18</v>
      </c>
      <c r="C395" t="str">
        <f t="shared" si="53"/>
        <v>400</v>
      </c>
      <c r="D395" t="str">
        <f>"610365"</f>
        <v>610365</v>
      </c>
      <c r="E395" t="s">
        <v>19</v>
      </c>
      <c r="F395" t="s">
        <v>369</v>
      </c>
      <c r="G395">
        <v>250</v>
      </c>
      <c r="H395" t="str">
        <f>""</f>
        <v/>
      </c>
      <c r="I395">
        <v>12.75</v>
      </c>
      <c r="J395">
        <v>0</v>
      </c>
      <c r="K395" t="str">
        <f t="shared" si="52"/>
        <v>31000</v>
      </c>
      <c r="L395" t="str">
        <f t="shared" si="54"/>
        <v>0</v>
      </c>
      <c r="M395" t="str">
        <f t="shared" si="54"/>
        <v>0</v>
      </c>
      <c r="N395" t="str">
        <f t="shared" si="54"/>
        <v>0</v>
      </c>
    </row>
    <row r="396" spans="1:14" x14ac:dyDescent="0.3">
      <c r="A396" t="s">
        <v>17</v>
      </c>
      <c r="B396" t="s">
        <v>18</v>
      </c>
      <c r="C396" t="str">
        <f t="shared" si="53"/>
        <v>400</v>
      </c>
      <c r="D396" t="str">
        <f>"610392"</f>
        <v>610392</v>
      </c>
      <c r="E396" t="s">
        <v>19</v>
      </c>
      <c r="F396" t="s">
        <v>370</v>
      </c>
      <c r="G396">
        <v>250</v>
      </c>
      <c r="I396">
        <v>117.69</v>
      </c>
      <c r="J396">
        <v>0</v>
      </c>
      <c r="K396" t="str">
        <f t="shared" si="52"/>
        <v>31000</v>
      </c>
    </row>
    <row r="397" spans="1:14" x14ac:dyDescent="0.3">
      <c r="A397" t="s">
        <v>17</v>
      </c>
      <c r="B397" t="s">
        <v>18</v>
      </c>
      <c r="C397" t="str">
        <f t="shared" si="53"/>
        <v>400</v>
      </c>
      <c r="D397" t="str">
        <f>"610401"</f>
        <v>610401</v>
      </c>
      <c r="E397" t="s">
        <v>19</v>
      </c>
      <c r="F397" t="s">
        <v>371</v>
      </c>
      <c r="G397">
        <v>250</v>
      </c>
      <c r="H397" t="str">
        <f>""</f>
        <v/>
      </c>
      <c r="I397">
        <v>4.5</v>
      </c>
      <c r="J397">
        <v>0</v>
      </c>
      <c r="K397" t="str">
        <f t="shared" si="52"/>
        <v>31000</v>
      </c>
      <c r="L397" t="str">
        <f t="shared" ref="L397:N416" si="55">"0"</f>
        <v>0</v>
      </c>
      <c r="M397" t="str">
        <f t="shared" si="55"/>
        <v>0</v>
      </c>
      <c r="N397" t="str">
        <f t="shared" si="55"/>
        <v>0</v>
      </c>
    </row>
    <row r="398" spans="1:14" x14ac:dyDescent="0.3">
      <c r="A398" t="s">
        <v>17</v>
      </c>
      <c r="B398" t="s">
        <v>18</v>
      </c>
      <c r="C398" t="str">
        <f t="shared" si="53"/>
        <v>400</v>
      </c>
      <c r="D398" t="str">
        <f>"610405"</f>
        <v>610405</v>
      </c>
      <c r="E398" t="s">
        <v>19</v>
      </c>
      <c r="F398" t="s">
        <v>372</v>
      </c>
      <c r="G398">
        <v>250</v>
      </c>
      <c r="H398" t="str">
        <f>""</f>
        <v/>
      </c>
      <c r="I398">
        <v>168</v>
      </c>
      <c r="J398">
        <v>0</v>
      </c>
      <c r="K398" t="str">
        <f t="shared" si="52"/>
        <v>31000</v>
      </c>
      <c r="L398" t="str">
        <f t="shared" si="55"/>
        <v>0</v>
      </c>
      <c r="M398" t="str">
        <f t="shared" si="55"/>
        <v>0</v>
      </c>
      <c r="N398" t="str">
        <f t="shared" si="55"/>
        <v>0</v>
      </c>
    </row>
    <row r="399" spans="1:14" x14ac:dyDescent="0.3">
      <c r="A399" t="s">
        <v>17</v>
      </c>
      <c r="B399" t="s">
        <v>18</v>
      </c>
      <c r="C399" t="str">
        <f t="shared" si="53"/>
        <v>400</v>
      </c>
      <c r="D399" t="str">
        <f>"610407"</f>
        <v>610407</v>
      </c>
      <c r="E399" t="s">
        <v>19</v>
      </c>
      <c r="F399" t="s">
        <v>373</v>
      </c>
      <c r="G399">
        <v>250</v>
      </c>
      <c r="H399" t="str">
        <f>""</f>
        <v/>
      </c>
      <c r="I399">
        <v>6.94</v>
      </c>
      <c r="J399">
        <v>0</v>
      </c>
      <c r="K399" t="str">
        <f t="shared" si="52"/>
        <v>31000</v>
      </c>
      <c r="L399" t="str">
        <f t="shared" si="55"/>
        <v>0</v>
      </c>
      <c r="M399" t="str">
        <f t="shared" si="55"/>
        <v>0</v>
      </c>
      <c r="N399" t="str">
        <f t="shared" si="55"/>
        <v>0</v>
      </c>
    </row>
    <row r="400" spans="1:14" x14ac:dyDescent="0.3">
      <c r="A400" t="s">
        <v>17</v>
      </c>
      <c r="B400" t="s">
        <v>18</v>
      </c>
      <c r="C400" t="str">
        <f t="shared" si="53"/>
        <v>400</v>
      </c>
      <c r="D400" t="str">
        <f>"610408"</f>
        <v>610408</v>
      </c>
      <c r="E400" t="s">
        <v>19</v>
      </c>
      <c r="F400" t="s">
        <v>374</v>
      </c>
      <c r="G400">
        <v>250</v>
      </c>
      <c r="H400" t="str">
        <f>""</f>
        <v/>
      </c>
      <c r="I400">
        <v>6.94</v>
      </c>
      <c r="J400">
        <v>0</v>
      </c>
      <c r="K400" t="str">
        <f t="shared" si="52"/>
        <v>31000</v>
      </c>
      <c r="L400" t="str">
        <f t="shared" si="55"/>
        <v>0</v>
      </c>
      <c r="M400" t="str">
        <f t="shared" si="55"/>
        <v>0</v>
      </c>
      <c r="N400" t="str">
        <f t="shared" si="55"/>
        <v>0</v>
      </c>
    </row>
    <row r="401" spans="1:14" x14ac:dyDescent="0.3">
      <c r="A401" t="s">
        <v>17</v>
      </c>
      <c r="B401" t="s">
        <v>18</v>
      </c>
      <c r="C401" t="str">
        <f t="shared" si="53"/>
        <v>400</v>
      </c>
      <c r="D401" t="str">
        <f>"610409"</f>
        <v>610409</v>
      </c>
      <c r="E401" t="s">
        <v>19</v>
      </c>
      <c r="F401" t="s">
        <v>375</v>
      </c>
      <c r="G401">
        <v>250</v>
      </c>
      <c r="H401" t="str">
        <f>""</f>
        <v/>
      </c>
      <c r="I401">
        <v>6.94</v>
      </c>
      <c r="J401">
        <v>0</v>
      </c>
      <c r="K401" t="str">
        <f t="shared" si="52"/>
        <v>31000</v>
      </c>
      <c r="L401" t="str">
        <f t="shared" si="55"/>
        <v>0</v>
      </c>
      <c r="M401" t="str">
        <f t="shared" si="55"/>
        <v>0</v>
      </c>
      <c r="N401" t="str">
        <f t="shared" si="55"/>
        <v>0</v>
      </c>
    </row>
    <row r="402" spans="1:14" x14ac:dyDescent="0.3">
      <c r="A402" t="s">
        <v>17</v>
      </c>
      <c r="B402" t="s">
        <v>18</v>
      </c>
      <c r="C402" t="str">
        <f t="shared" si="53"/>
        <v>400</v>
      </c>
      <c r="D402" t="str">
        <f>"610415"</f>
        <v>610415</v>
      </c>
      <c r="E402" t="s">
        <v>19</v>
      </c>
      <c r="F402" t="s">
        <v>376</v>
      </c>
      <c r="G402">
        <v>250</v>
      </c>
      <c r="H402" t="str">
        <f>""</f>
        <v/>
      </c>
      <c r="I402">
        <v>5.5</v>
      </c>
      <c r="J402">
        <v>0</v>
      </c>
      <c r="K402" t="str">
        <f t="shared" si="52"/>
        <v>31000</v>
      </c>
      <c r="L402" t="str">
        <f t="shared" si="55"/>
        <v>0</v>
      </c>
      <c r="M402" t="str">
        <f t="shared" si="55"/>
        <v>0</v>
      </c>
      <c r="N402" t="str">
        <f t="shared" si="55"/>
        <v>0</v>
      </c>
    </row>
    <row r="403" spans="1:14" x14ac:dyDescent="0.3">
      <c r="A403" t="s">
        <v>17</v>
      </c>
      <c r="B403" t="s">
        <v>18</v>
      </c>
      <c r="C403" t="str">
        <f t="shared" si="53"/>
        <v>400</v>
      </c>
      <c r="D403" t="str">
        <f>"610420"</f>
        <v>610420</v>
      </c>
      <c r="E403" t="s">
        <v>19</v>
      </c>
      <c r="F403" t="s">
        <v>377</v>
      </c>
      <c r="G403">
        <v>250</v>
      </c>
      <c r="H403" t="str">
        <f>""</f>
        <v/>
      </c>
      <c r="I403">
        <v>9</v>
      </c>
      <c r="J403">
        <v>0</v>
      </c>
      <c r="K403" t="str">
        <f t="shared" si="52"/>
        <v>31000</v>
      </c>
      <c r="L403" t="str">
        <f t="shared" si="55"/>
        <v>0</v>
      </c>
      <c r="M403" t="str">
        <f t="shared" si="55"/>
        <v>0</v>
      </c>
      <c r="N403" t="str">
        <f t="shared" si="55"/>
        <v>0</v>
      </c>
    </row>
    <row r="404" spans="1:14" x14ac:dyDescent="0.3">
      <c r="A404" t="s">
        <v>17</v>
      </c>
      <c r="B404" t="s">
        <v>18</v>
      </c>
      <c r="C404" t="str">
        <f t="shared" si="53"/>
        <v>400</v>
      </c>
      <c r="D404" t="str">
        <f>"610424"</f>
        <v>610424</v>
      </c>
      <c r="E404" t="s">
        <v>19</v>
      </c>
      <c r="F404" t="s">
        <v>378</v>
      </c>
      <c r="G404">
        <v>250</v>
      </c>
      <c r="H404" t="str">
        <f>""</f>
        <v/>
      </c>
      <c r="I404">
        <v>5.5</v>
      </c>
      <c r="J404">
        <v>0</v>
      </c>
      <c r="K404" t="str">
        <f t="shared" si="52"/>
        <v>31000</v>
      </c>
      <c r="L404" t="str">
        <f t="shared" si="55"/>
        <v>0</v>
      </c>
      <c r="M404" t="str">
        <f t="shared" si="55"/>
        <v>0</v>
      </c>
      <c r="N404" t="str">
        <f t="shared" si="55"/>
        <v>0</v>
      </c>
    </row>
    <row r="405" spans="1:14" x14ac:dyDescent="0.3">
      <c r="A405" t="s">
        <v>17</v>
      </c>
      <c r="B405" t="s">
        <v>18</v>
      </c>
      <c r="C405" t="str">
        <f t="shared" si="53"/>
        <v>400</v>
      </c>
      <c r="D405" t="str">
        <f>"610426"</f>
        <v>610426</v>
      </c>
      <c r="E405" t="s">
        <v>19</v>
      </c>
      <c r="F405" t="s">
        <v>379</v>
      </c>
      <c r="G405">
        <v>250</v>
      </c>
      <c r="H405" t="str">
        <f>""</f>
        <v/>
      </c>
      <c r="I405">
        <v>5.3</v>
      </c>
      <c r="J405">
        <v>0</v>
      </c>
      <c r="K405" t="str">
        <f t="shared" si="52"/>
        <v>31000</v>
      </c>
      <c r="L405" t="str">
        <f t="shared" si="55"/>
        <v>0</v>
      </c>
      <c r="M405" t="str">
        <f t="shared" si="55"/>
        <v>0</v>
      </c>
      <c r="N405" t="str">
        <f t="shared" si="55"/>
        <v>0</v>
      </c>
    </row>
    <row r="406" spans="1:14" x14ac:dyDescent="0.3">
      <c r="A406" t="s">
        <v>17</v>
      </c>
      <c r="B406" t="s">
        <v>18</v>
      </c>
      <c r="C406" t="str">
        <f t="shared" si="53"/>
        <v>400</v>
      </c>
      <c r="D406" t="str">
        <f>"610427"</f>
        <v>610427</v>
      </c>
      <c r="E406" t="s">
        <v>19</v>
      </c>
      <c r="F406" t="s">
        <v>380</v>
      </c>
      <c r="G406">
        <v>250</v>
      </c>
      <c r="H406" t="str">
        <f>""</f>
        <v/>
      </c>
      <c r="I406">
        <v>3.5</v>
      </c>
      <c r="J406">
        <v>0</v>
      </c>
      <c r="K406" t="str">
        <f t="shared" si="52"/>
        <v>31000</v>
      </c>
      <c r="L406" t="str">
        <f t="shared" si="55"/>
        <v>0</v>
      </c>
      <c r="M406" t="str">
        <f t="shared" si="55"/>
        <v>0</v>
      </c>
      <c r="N406" t="str">
        <f t="shared" si="55"/>
        <v>0</v>
      </c>
    </row>
    <row r="407" spans="1:14" x14ac:dyDescent="0.3">
      <c r="A407" t="s">
        <v>17</v>
      </c>
      <c r="B407" t="s">
        <v>18</v>
      </c>
      <c r="C407" t="str">
        <f t="shared" si="53"/>
        <v>400</v>
      </c>
      <c r="D407" t="str">
        <f>"610428"</f>
        <v>610428</v>
      </c>
      <c r="E407" t="s">
        <v>19</v>
      </c>
      <c r="F407" t="s">
        <v>381</v>
      </c>
      <c r="G407">
        <v>250</v>
      </c>
      <c r="H407" t="str">
        <f>""</f>
        <v/>
      </c>
      <c r="I407">
        <v>25</v>
      </c>
      <c r="J407">
        <v>0</v>
      </c>
      <c r="K407" t="str">
        <f t="shared" si="52"/>
        <v>31000</v>
      </c>
      <c r="L407" t="str">
        <f t="shared" si="55"/>
        <v>0</v>
      </c>
      <c r="M407" t="str">
        <f t="shared" si="55"/>
        <v>0</v>
      </c>
      <c r="N407" t="str">
        <f t="shared" si="55"/>
        <v>0</v>
      </c>
    </row>
    <row r="408" spans="1:14" x14ac:dyDescent="0.3">
      <c r="A408" t="s">
        <v>17</v>
      </c>
      <c r="B408" t="s">
        <v>18</v>
      </c>
      <c r="C408" t="str">
        <f t="shared" si="53"/>
        <v>400</v>
      </c>
      <c r="D408" t="str">
        <f>"610429"</f>
        <v>610429</v>
      </c>
      <c r="E408" t="s">
        <v>19</v>
      </c>
      <c r="F408" t="s">
        <v>382</v>
      </c>
      <c r="G408">
        <v>250</v>
      </c>
      <c r="H408" t="str">
        <f>""</f>
        <v/>
      </c>
      <c r="I408">
        <v>2.5</v>
      </c>
      <c r="J408">
        <v>0</v>
      </c>
      <c r="K408" t="str">
        <f t="shared" si="52"/>
        <v>31000</v>
      </c>
      <c r="L408" t="str">
        <f t="shared" si="55"/>
        <v>0</v>
      </c>
      <c r="M408" t="str">
        <f t="shared" si="55"/>
        <v>0</v>
      </c>
      <c r="N408" t="str">
        <f t="shared" si="55"/>
        <v>0</v>
      </c>
    </row>
    <row r="409" spans="1:14" x14ac:dyDescent="0.3">
      <c r="A409" t="s">
        <v>17</v>
      </c>
      <c r="B409" t="s">
        <v>18</v>
      </c>
      <c r="C409" t="str">
        <f t="shared" si="53"/>
        <v>400</v>
      </c>
      <c r="D409" t="str">
        <f>"610430"</f>
        <v>610430</v>
      </c>
      <c r="E409" t="s">
        <v>19</v>
      </c>
      <c r="F409" t="s">
        <v>383</v>
      </c>
      <c r="G409">
        <v>250</v>
      </c>
      <c r="H409" t="str">
        <f>""</f>
        <v/>
      </c>
      <c r="I409">
        <v>20</v>
      </c>
      <c r="J409">
        <v>0</v>
      </c>
      <c r="K409" t="str">
        <f t="shared" si="52"/>
        <v>31000</v>
      </c>
      <c r="L409" t="str">
        <f t="shared" si="55"/>
        <v>0</v>
      </c>
      <c r="M409" t="str">
        <f t="shared" si="55"/>
        <v>0</v>
      </c>
      <c r="N409" t="str">
        <f t="shared" si="55"/>
        <v>0</v>
      </c>
    </row>
    <row r="410" spans="1:14" x14ac:dyDescent="0.3">
      <c r="A410" t="s">
        <v>17</v>
      </c>
      <c r="B410" t="s">
        <v>18</v>
      </c>
      <c r="C410" t="str">
        <f t="shared" si="53"/>
        <v>400</v>
      </c>
      <c r="D410" t="str">
        <f>"610432"</f>
        <v>610432</v>
      </c>
      <c r="E410" t="s">
        <v>19</v>
      </c>
      <c r="F410" t="s">
        <v>384</v>
      </c>
      <c r="G410">
        <v>250</v>
      </c>
      <c r="H410" t="str">
        <f>""</f>
        <v/>
      </c>
      <c r="I410">
        <v>12.75</v>
      </c>
      <c r="J410">
        <v>0</v>
      </c>
      <c r="K410" t="str">
        <f t="shared" si="52"/>
        <v>31000</v>
      </c>
      <c r="L410" t="str">
        <f t="shared" si="55"/>
        <v>0</v>
      </c>
      <c r="M410" t="str">
        <f t="shared" si="55"/>
        <v>0</v>
      </c>
      <c r="N410" t="str">
        <f t="shared" si="55"/>
        <v>0</v>
      </c>
    </row>
    <row r="411" spans="1:14" x14ac:dyDescent="0.3">
      <c r="A411" t="s">
        <v>17</v>
      </c>
      <c r="B411" t="s">
        <v>18</v>
      </c>
      <c r="C411" t="str">
        <f t="shared" si="53"/>
        <v>400</v>
      </c>
      <c r="D411" t="str">
        <f>"610435"</f>
        <v>610435</v>
      </c>
      <c r="E411" t="s">
        <v>19</v>
      </c>
      <c r="F411" t="s">
        <v>385</v>
      </c>
      <c r="G411">
        <v>250</v>
      </c>
      <c r="H411" t="str">
        <f>""</f>
        <v/>
      </c>
      <c r="I411">
        <v>4.5</v>
      </c>
      <c r="J411">
        <v>0</v>
      </c>
      <c r="K411" t="str">
        <f t="shared" si="52"/>
        <v>31000</v>
      </c>
      <c r="L411" t="str">
        <f t="shared" si="55"/>
        <v>0</v>
      </c>
      <c r="M411" t="str">
        <f t="shared" si="55"/>
        <v>0</v>
      </c>
      <c r="N411" t="str">
        <f t="shared" si="55"/>
        <v>0</v>
      </c>
    </row>
    <row r="412" spans="1:14" x14ac:dyDescent="0.3">
      <c r="A412" t="s">
        <v>17</v>
      </c>
      <c r="B412" t="s">
        <v>18</v>
      </c>
      <c r="C412" t="str">
        <f t="shared" si="53"/>
        <v>400</v>
      </c>
      <c r="D412" t="str">
        <f>"610436"</f>
        <v>610436</v>
      </c>
      <c r="E412" t="s">
        <v>19</v>
      </c>
      <c r="F412" t="s">
        <v>386</v>
      </c>
      <c r="G412">
        <v>250</v>
      </c>
      <c r="H412" t="str">
        <f>""</f>
        <v/>
      </c>
      <c r="I412">
        <v>6.6</v>
      </c>
      <c r="J412">
        <v>0</v>
      </c>
      <c r="K412" t="str">
        <f t="shared" si="52"/>
        <v>31000</v>
      </c>
      <c r="L412" t="str">
        <f t="shared" si="55"/>
        <v>0</v>
      </c>
      <c r="M412" t="str">
        <f t="shared" si="55"/>
        <v>0</v>
      </c>
      <c r="N412" t="str">
        <f t="shared" si="55"/>
        <v>0</v>
      </c>
    </row>
    <row r="413" spans="1:14" x14ac:dyDescent="0.3">
      <c r="A413" t="s">
        <v>17</v>
      </c>
      <c r="B413" t="s">
        <v>18</v>
      </c>
      <c r="C413" t="str">
        <f t="shared" si="53"/>
        <v>400</v>
      </c>
      <c r="D413" t="str">
        <f>"610437"</f>
        <v>610437</v>
      </c>
      <c r="E413" t="s">
        <v>19</v>
      </c>
      <c r="F413" t="s">
        <v>387</v>
      </c>
      <c r="G413">
        <v>250</v>
      </c>
      <c r="H413" t="str">
        <f>""</f>
        <v/>
      </c>
      <c r="I413">
        <v>5.6</v>
      </c>
      <c r="J413">
        <v>0</v>
      </c>
      <c r="K413" t="str">
        <f t="shared" si="52"/>
        <v>31000</v>
      </c>
      <c r="L413" t="str">
        <f t="shared" si="55"/>
        <v>0</v>
      </c>
      <c r="M413" t="str">
        <f t="shared" si="55"/>
        <v>0</v>
      </c>
      <c r="N413" t="str">
        <f t="shared" si="55"/>
        <v>0</v>
      </c>
    </row>
    <row r="414" spans="1:14" x14ac:dyDescent="0.3">
      <c r="A414" t="s">
        <v>17</v>
      </c>
      <c r="B414" t="s">
        <v>18</v>
      </c>
      <c r="C414" t="str">
        <f t="shared" si="53"/>
        <v>400</v>
      </c>
      <c r="D414" t="str">
        <f>"610438"</f>
        <v>610438</v>
      </c>
      <c r="E414" t="s">
        <v>19</v>
      </c>
      <c r="F414" t="s">
        <v>388</v>
      </c>
      <c r="G414">
        <v>250</v>
      </c>
      <c r="H414" t="str">
        <f>""</f>
        <v/>
      </c>
      <c r="I414">
        <v>3.45</v>
      </c>
      <c r="J414">
        <v>0</v>
      </c>
      <c r="K414" t="str">
        <f t="shared" si="52"/>
        <v>31000</v>
      </c>
      <c r="L414" t="str">
        <f t="shared" si="55"/>
        <v>0</v>
      </c>
      <c r="M414" t="str">
        <f t="shared" si="55"/>
        <v>0</v>
      </c>
      <c r="N414" t="str">
        <f t="shared" si="55"/>
        <v>0</v>
      </c>
    </row>
    <row r="415" spans="1:14" x14ac:dyDescent="0.3">
      <c r="A415" t="s">
        <v>17</v>
      </c>
      <c r="B415" t="s">
        <v>18</v>
      </c>
      <c r="C415" t="str">
        <f t="shared" si="53"/>
        <v>400</v>
      </c>
      <c r="D415" t="str">
        <f>"610446"</f>
        <v>610446</v>
      </c>
      <c r="E415" t="s">
        <v>19</v>
      </c>
      <c r="F415" t="s">
        <v>389</v>
      </c>
      <c r="G415">
        <v>250</v>
      </c>
      <c r="H415" t="str">
        <f>""</f>
        <v/>
      </c>
      <c r="I415">
        <v>6</v>
      </c>
      <c r="J415">
        <v>0</v>
      </c>
      <c r="K415" t="str">
        <f t="shared" si="52"/>
        <v>31000</v>
      </c>
      <c r="L415" t="str">
        <f t="shared" si="55"/>
        <v>0</v>
      </c>
      <c r="M415" t="str">
        <f t="shared" si="55"/>
        <v>0</v>
      </c>
      <c r="N415" t="str">
        <f t="shared" si="55"/>
        <v>0</v>
      </c>
    </row>
    <row r="416" spans="1:14" x14ac:dyDescent="0.3">
      <c r="A416" t="s">
        <v>17</v>
      </c>
      <c r="B416" t="s">
        <v>18</v>
      </c>
      <c r="C416" t="str">
        <f t="shared" si="53"/>
        <v>400</v>
      </c>
      <c r="D416" t="str">
        <f>"610447"</f>
        <v>610447</v>
      </c>
      <c r="E416" t="s">
        <v>19</v>
      </c>
      <c r="F416" t="s">
        <v>390</v>
      </c>
      <c r="G416">
        <v>250</v>
      </c>
      <c r="H416" t="str">
        <f>""</f>
        <v/>
      </c>
      <c r="I416">
        <v>21.42</v>
      </c>
      <c r="J416">
        <v>0</v>
      </c>
      <c r="K416" t="str">
        <f t="shared" si="52"/>
        <v>31000</v>
      </c>
      <c r="L416" t="str">
        <f t="shared" si="55"/>
        <v>0</v>
      </c>
      <c r="M416" t="str">
        <f t="shared" si="55"/>
        <v>0</v>
      </c>
      <c r="N416" t="str">
        <f t="shared" si="55"/>
        <v>0</v>
      </c>
    </row>
    <row r="417" spans="1:14" x14ac:dyDescent="0.3">
      <c r="A417" t="s">
        <v>17</v>
      </c>
      <c r="B417" t="s">
        <v>18</v>
      </c>
      <c r="C417" t="str">
        <f t="shared" si="53"/>
        <v>400</v>
      </c>
      <c r="D417" t="str">
        <f>"610456"</f>
        <v>610456</v>
      </c>
      <c r="E417" t="s">
        <v>19</v>
      </c>
      <c r="F417" t="s">
        <v>391</v>
      </c>
      <c r="G417">
        <v>250</v>
      </c>
      <c r="H417" t="str">
        <f>""</f>
        <v/>
      </c>
      <c r="I417">
        <v>15</v>
      </c>
      <c r="J417">
        <v>0</v>
      </c>
      <c r="K417" t="str">
        <f t="shared" si="52"/>
        <v>31000</v>
      </c>
      <c r="L417" t="str">
        <f t="shared" ref="L417:N431" si="56">"0"</f>
        <v>0</v>
      </c>
      <c r="M417" t="str">
        <f t="shared" si="56"/>
        <v>0</v>
      </c>
      <c r="N417" t="str">
        <f t="shared" si="56"/>
        <v>0</v>
      </c>
    </row>
    <row r="418" spans="1:14" x14ac:dyDescent="0.3">
      <c r="A418" t="s">
        <v>17</v>
      </c>
      <c r="B418" t="s">
        <v>18</v>
      </c>
      <c r="C418" t="str">
        <f t="shared" si="53"/>
        <v>400</v>
      </c>
      <c r="D418" t="str">
        <f>"610458"</f>
        <v>610458</v>
      </c>
      <c r="E418" t="s">
        <v>19</v>
      </c>
      <c r="F418" t="s">
        <v>392</v>
      </c>
      <c r="G418">
        <v>250</v>
      </c>
      <c r="H418" t="str">
        <f>""</f>
        <v/>
      </c>
      <c r="I418">
        <v>150</v>
      </c>
      <c r="J418">
        <v>0</v>
      </c>
      <c r="K418" t="str">
        <f t="shared" si="52"/>
        <v>31000</v>
      </c>
      <c r="L418" t="str">
        <f t="shared" si="56"/>
        <v>0</v>
      </c>
      <c r="M418" t="str">
        <f t="shared" si="56"/>
        <v>0</v>
      </c>
      <c r="N418" t="str">
        <f t="shared" si="56"/>
        <v>0</v>
      </c>
    </row>
    <row r="419" spans="1:14" x14ac:dyDescent="0.3">
      <c r="A419" t="s">
        <v>17</v>
      </c>
      <c r="B419" t="s">
        <v>18</v>
      </c>
      <c r="C419" t="str">
        <f t="shared" si="53"/>
        <v>400</v>
      </c>
      <c r="D419" t="str">
        <f>"610466"</f>
        <v>610466</v>
      </c>
      <c r="E419" t="s">
        <v>19</v>
      </c>
      <c r="F419" t="s">
        <v>393</v>
      </c>
      <c r="G419">
        <v>250</v>
      </c>
      <c r="H419" t="str">
        <f>""</f>
        <v/>
      </c>
      <c r="I419">
        <v>2.5</v>
      </c>
      <c r="J419">
        <v>0</v>
      </c>
      <c r="K419" t="str">
        <f t="shared" si="52"/>
        <v>31000</v>
      </c>
      <c r="L419" t="str">
        <f t="shared" si="56"/>
        <v>0</v>
      </c>
      <c r="M419" t="str">
        <f t="shared" si="56"/>
        <v>0</v>
      </c>
      <c r="N419" t="str">
        <f t="shared" si="56"/>
        <v>0</v>
      </c>
    </row>
    <row r="420" spans="1:14" x14ac:dyDescent="0.3">
      <c r="A420" t="s">
        <v>17</v>
      </c>
      <c r="B420" t="s">
        <v>18</v>
      </c>
      <c r="C420" t="str">
        <f t="shared" si="53"/>
        <v>400</v>
      </c>
      <c r="D420" t="str">
        <f>"610476"</f>
        <v>610476</v>
      </c>
      <c r="E420" t="s">
        <v>19</v>
      </c>
      <c r="F420" t="s">
        <v>394</v>
      </c>
      <c r="G420">
        <v>250</v>
      </c>
      <c r="H420" t="str">
        <f>""</f>
        <v/>
      </c>
      <c r="I420">
        <v>25</v>
      </c>
      <c r="J420">
        <v>0</v>
      </c>
      <c r="K420" t="str">
        <f t="shared" si="52"/>
        <v>31000</v>
      </c>
      <c r="L420" t="str">
        <f t="shared" si="56"/>
        <v>0</v>
      </c>
      <c r="M420" t="str">
        <f t="shared" si="56"/>
        <v>0</v>
      </c>
      <c r="N420" t="str">
        <f t="shared" si="56"/>
        <v>0</v>
      </c>
    </row>
    <row r="421" spans="1:14" x14ac:dyDescent="0.3">
      <c r="A421" t="s">
        <v>17</v>
      </c>
      <c r="B421" t="s">
        <v>18</v>
      </c>
      <c r="C421" t="str">
        <f t="shared" si="53"/>
        <v>400</v>
      </c>
      <c r="D421" t="str">
        <f>"610477"</f>
        <v>610477</v>
      </c>
      <c r="E421" t="s">
        <v>19</v>
      </c>
      <c r="F421" t="s">
        <v>395</v>
      </c>
      <c r="G421">
        <v>250</v>
      </c>
      <c r="H421" t="str">
        <f>""</f>
        <v/>
      </c>
      <c r="I421">
        <v>371.84</v>
      </c>
      <c r="J421">
        <v>0</v>
      </c>
      <c r="K421" t="str">
        <f t="shared" si="52"/>
        <v>31000</v>
      </c>
      <c r="L421" t="str">
        <f t="shared" si="56"/>
        <v>0</v>
      </c>
      <c r="M421" t="str">
        <f t="shared" si="56"/>
        <v>0</v>
      </c>
      <c r="N421" t="str">
        <f t="shared" si="56"/>
        <v>0</v>
      </c>
    </row>
    <row r="422" spans="1:14" x14ac:dyDescent="0.3">
      <c r="A422" t="s">
        <v>17</v>
      </c>
      <c r="B422" t="s">
        <v>18</v>
      </c>
      <c r="C422" t="str">
        <f t="shared" si="53"/>
        <v>400</v>
      </c>
      <c r="D422" t="str">
        <f>"610479"</f>
        <v>610479</v>
      </c>
      <c r="E422" t="s">
        <v>19</v>
      </c>
      <c r="F422" t="s">
        <v>396</v>
      </c>
      <c r="G422">
        <v>250</v>
      </c>
      <c r="H422" t="str">
        <f>""</f>
        <v/>
      </c>
      <c r="I422">
        <v>17.8</v>
      </c>
      <c r="J422">
        <v>0</v>
      </c>
      <c r="K422" t="str">
        <f t="shared" si="52"/>
        <v>31000</v>
      </c>
      <c r="L422" t="str">
        <f t="shared" si="56"/>
        <v>0</v>
      </c>
      <c r="M422" t="str">
        <f t="shared" si="56"/>
        <v>0</v>
      </c>
      <c r="N422" t="str">
        <f t="shared" si="56"/>
        <v>0</v>
      </c>
    </row>
    <row r="423" spans="1:14" x14ac:dyDescent="0.3">
      <c r="A423" t="s">
        <v>17</v>
      </c>
      <c r="B423" t="s">
        <v>18</v>
      </c>
      <c r="C423" t="str">
        <f t="shared" si="53"/>
        <v>400</v>
      </c>
      <c r="D423" t="str">
        <f>"610483"</f>
        <v>610483</v>
      </c>
      <c r="E423" t="s">
        <v>19</v>
      </c>
      <c r="F423" t="s">
        <v>397</v>
      </c>
      <c r="G423">
        <v>250</v>
      </c>
      <c r="H423" t="str">
        <f>""</f>
        <v/>
      </c>
      <c r="I423">
        <v>4.5</v>
      </c>
      <c r="J423">
        <v>0</v>
      </c>
      <c r="K423" t="str">
        <f t="shared" si="52"/>
        <v>31000</v>
      </c>
      <c r="L423" t="str">
        <f t="shared" si="56"/>
        <v>0</v>
      </c>
      <c r="M423" t="str">
        <f t="shared" si="56"/>
        <v>0</v>
      </c>
      <c r="N423" t="str">
        <f t="shared" si="56"/>
        <v>0</v>
      </c>
    </row>
    <row r="424" spans="1:14" x14ac:dyDescent="0.3">
      <c r="A424" t="s">
        <v>17</v>
      </c>
      <c r="B424" t="s">
        <v>18</v>
      </c>
      <c r="C424" t="str">
        <f t="shared" si="53"/>
        <v>400</v>
      </c>
      <c r="D424" t="str">
        <f>"610486"</f>
        <v>610486</v>
      </c>
      <c r="E424" t="s">
        <v>19</v>
      </c>
      <c r="F424" t="s">
        <v>398</v>
      </c>
      <c r="G424">
        <v>250</v>
      </c>
      <c r="H424" t="str">
        <f>""</f>
        <v/>
      </c>
      <c r="I424">
        <v>198</v>
      </c>
      <c r="J424">
        <v>0</v>
      </c>
      <c r="K424" t="str">
        <f t="shared" si="52"/>
        <v>31000</v>
      </c>
      <c r="L424" t="str">
        <f t="shared" si="56"/>
        <v>0</v>
      </c>
      <c r="M424" t="str">
        <f t="shared" si="56"/>
        <v>0</v>
      </c>
      <c r="N424" t="str">
        <f t="shared" si="56"/>
        <v>0</v>
      </c>
    </row>
    <row r="425" spans="1:14" x14ac:dyDescent="0.3">
      <c r="A425" t="s">
        <v>17</v>
      </c>
      <c r="B425" t="s">
        <v>18</v>
      </c>
      <c r="C425" t="str">
        <f t="shared" si="53"/>
        <v>400</v>
      </c>
      <c r="D425" t="str">
        <f>"610492"</f>
        <v>610492</v>
      </c>
      <c r="E425" t="s">
        <v>19</v>
      </c>
      <c r="F425" t="s">
        <v>399</v>
      </c>
      <c r="G425">
        <v>250</v>
      </c>
      <c r="H425" t="str">
        <f>""</f>
        <v/>
      </c>
      <c r="I425">
        <v>9.9499999999999993</v>
      </c>
      <c r="J425">
        <v>0</v>
      </c>
      <c r="K425" t="str">
        <f t="shared" si="52"/>
        <v>31000</v>
      </c>
      <c r="L425" t="str">
        <f t="shared" si="56"/>
        <v>0</v>
      </c>
      <c r="M425" t="str">
        <f t="shared" si="56"/>
        <v>0</v>
      </c>
      <c r="N425" t="str">
        <f t="shared" si="56"/>
        <v>0</v>
      </c>
    </row>
    <row r="426" spans="1:14" x14ac:dyDescent="0.3">
      <c r="A426" t="s">
        <v>17</v>
      </c>
      <c r="B426" t="s">
        <v>18</v>
      </c>
      <c r="C426" t="str">
        <f t="shared" si="53"/>
        <v>400</v>
      </c>
      <c r="D426" t="str">
        <f>"610495"</f>
        <v>610495</v>
      </c>
      <c r="E426" t="s">
        <v>19</v>
      </c>
      <c r="F426" t="s">
        <v>400</v>
      </c>
      <c r="G426">
        <v>250</v>
      </c>
      <c r="H426" t="str">
        <f>""</f>
        <v/>
      </c>
      <c r="I426">
        <v>362</v>
      </c>
      <c r="J426">
        <v>0</v>
      </c>
      <c r="K426" t="str">
        <f t="shared" si="52"/>
        <v>31000</v>
      </c>
      <c r="L426" t="str">
        <f t="shared" si="56"/>
        <v>0</v>
      </c>
      <c r="M426" t="str">
        <f t="shared" si="56"/>
        <v>0</v>
      </c>
      <c r="N426" t="str">
        <f t="shared" si="56"/>
        <v>0</v>
      </c>
    </row>
    <row r="427" spans="1:14" x14ac:dyDescent="0.3">
      <c r="A427" t="s">
        <v>17</v>
      </c>
      <c r="B427" t="s">
        <v>18</v>
      </c>
      <c r="C427" t="str">
        <f t="shared" si="53"/>
        <v>400</v>
      </c>
      <c r="D427" t="str">
        <f>"610497"</f>
        <v>610497</v>
      </c>
      <c r="E427" t="s">
        <v>19</v>
      </c>
      <c r="F427" t="s">
        <v>401</v>
      </c>
      <c r="G427">
        <v>250</v>
      </c>
      <c r="I427">
        <v>4</v>
      </c>
      <c r="J427">
        <v>0</v>
      </c>
      <c r="K427" t="str">
        <f t="shared" ref="K427:K490" si="57">"31000"</f>
        <v>31000</v>
      </c>
      <c r="L427" t="str">
        <f t="shared" si="56"/>
        <v>0</v>
      </c>
      <c r="M427" t="str">
        <f t="shared" si="56"/>
        <v>0</v>
      </c>
      <c r="N427" t="str">
        <f t="shared" si="56"/>
        <v>0</v>
      </c>
    </row>
    <row r="428" spans="1:14" x14ac:dyDescent="0.3">
      <c r="A428" t="s">
        <v>17</v>
      </c>
      <c r="B428" t="s">
        <v>18</v>
      </c>
      <c r="C428" t="str">
        <f t="shared" si="53"/>
        <v>400</v>
      </c>
      <c r="D428" t="str">
        <f>"610499"</f>
        <v>610499</v>
      </c>
      <c r="E428" t="s">
        <v>19</v>
      </c>
      <c r="F428" t="s">
        <v>402</v>
      </c>
      <c r="G428">
        <v>250</v>
      </c>
      <c r="H428" t="str">
        <f>""</f>
        <v/>
      </c>
      <c r="I428">
        <v>381.16</v>
      </c>
      <c r="J428">
        <v>0</v>
      </c>
      <c r="K428" t="str">
        <f t="shared" si="57"/>
        <v>31000</v>
      </c>
      <c r="L428" t="str">
        <f t="shared" si="56"/>
        <v>0</v>
      </c>
      <c r="M428" t="str">
        <f t="shared" si="56"/>
        <v>0</v>
      </c>
      <c r="N428" t="str">
        <f t="shared" si="56"/>
        <v>0</v>
      </c>
    </row>
    <row r="429" spans="1:14" x14ac:dyDescent="0.3">
      <c r="A429" t="s">
        <v>17</v>
      </c>
      <c r="B429" t="s">
        <v>18</v>
      </c>
      <c r="C429" t="str">
        <f t="shared" si="53"/>
        <v>400</v>
      </c>
      <c r="D429" t="str">
        <f>"610504"</f>
        <v>610504</v>
      </c>
      <c r="E429" t="s">
        <v>19</v>
      </c>
      <c r="F429" t="s">
        <v>403</v>
      </c>
      <c r="G429">
        <v>250</v>
      </c>
      <c r="H429" t="str">
        <f>""</f>
        <v/>
      </c>
      <c r="I429">
        <v>5.5</v>
      </c>
      <c r="J429">
        <v>0</v>
      </c>
      <c r="K429" t="str">
        <f t="shared" si="57"/>
        <v>31000</v>
      </c>
      <c r="L429" t="str">
        <f t="shared" si="56"/>
        <v>0</v>
      </c>
      <c r="M429" t="str">
        <f t="shared" si="56"/>
        <v>0</v>
      </c>
      <c r="N429" t="str">
        <f t="shared" si="56"/>
        <v>0</v>
      </c>
    </row>
    <row r="430" spans="1:14" x14ac:dyDescent="0.3">
      <c r="A430" t="s">
        <v>17</v>
      </c>
      <c r="B430" t="s">
        <v>18</v>
      </c>
      <c r="C430" t="str">
        <f t="shared" si="53"/>
        <v>400</v>
      </c>
      <c r="D430" t="str">
        <f>"610505"</f>
        <v>610505</v>
      </c>
      <c r="E430" t="s">
        <v>19</v>
      </c>
      <c r="F430" t="s">
        <v>404</v>
      </c>
      <c r="G430">
        <v>250</v>
      </c>
      <c r="H430" t="str">
        <f>""</f>
        <v/>
      </c>
      <c r="I430">
        <v>4.5</v>
      </c>
      <c r="J430">
        <v>0</v>
      </c>
      <c r="K430" t="str">
        <f t="shared" si="57"/>
        <v>31000</v>
      </c>
      <c r="L430" t="str">
        <f t="shared" si="56"/>
        <v>0</v>
      </c>
      <c r="M430" t="str">
        <f t="shared" si="56"/>
        <v>0</v>
      </c>
      <c r="N430" t="str">
        <f t="shared" si="56"/>
        <v>0</v>
      </c>
    </row>
    <row r="431" spans="1:14" x14ac:dyDescent="0.3">
      <c r="A431" t="s">
        <v>17</v>
      </c>
      <c r="B431" t="s">
        <v>18</v>
      </c>
      <c r="C431" t="str">
        <f t="shared" si="53"/>
        <v>400</v>
      </c>
      <c r="D431" t="str">
        <f>"610506"</f>
        <v>610506</v>
      </c>
      <c r="E431" t="s">
        <v>19</v>
      </c>
      <c r="F431" t="s">
        <v>405</v>
      </c>
      <c r="G431">
        <v>250</v>
      </c>
      <c r="H431" t="str">
        <f>""</f>
        <v/>
      </c>
      <c r="I431">
        <v>39</v>
      </c>
      <c r="J431">
        <v>0</v>
      </c>
      <c r="K431" t="str">
        <f t="shared" si="57"/>
        <v>31000</v>
      </c>
      <c r="L431" t="str">
        <f t="shared" si="56"/>
        <v>0</v>
      </c>
      <c r="M431" t="str">
        <f t="shared" si="56"/>
        <v>0</v>
      </c>
      <c r="N431" t="str">
        <f t="shared" si="56"/>
        <v>0</v>
      </c>
    </row>
    <row r="432" spans="1:14" x14ac:dyDescent="0.3">
      <c r="A432" t="s">
        <v>17</v>
      </c>
      <c r="B432" t="s">
        <v>18</v>
      </c>
      <c r="C432" t="str">
        <f t="shared" si="53"/>
        <v>400</v>
      </c>
      <c r="D432" t="str">
        <f>"610511"</f>
        <v>610511</v>
      </c>
      <c r="E432" t="s">
        <v>19</v>
      </c>
      <c r="F432" t="s">
        <v>406</v>
      </c>
      <c r="G432">
        <v>250</v>
      </c>
      <c r="I432">
        <v>5.99</v>
      </c>
      <c r="J432">
        <v>0</v>
      </c>
      <c r="K432" t="str">
        <f t="shared" si="57"/>
        <v>31000</v>
      </c>
    </row>
    <row r="433" spans="1:14" x14ac:dyDescent="0.3">
      <c r="A433" t="s">
        <v>17</v>
      </c>
      <c r="B433" t="s">
        <v>18</v>
      </c>
      <c r="C433" t="str">
        <f t="shared" si="53"/>
        <v>400</v>
      </c>
      <c r="D433" t="str">
        <f>"610513"</f>
        <v>610513</v>
      </c>
      <c r="E433" t="s">
        <v>19</v>
      </c>
      <c r="F433" t="s">
        <v>407</v>
      </c>
      <c r="G433">
        <v>250</v>
      </c>
      <c r="H433" t="str">
        <f>""</f>
        <v/>
      </c>
      <c r="I433">
        <v>6.95</v>
      </c>
      <c r="J433">
        <v>0</v>
      </c>
      <c r="K433" t="str">
        <f t="shared" si="57"/>
        <v>31000</v>
      </c>
      <c r="L433" t="str">
        <f t="shared" ref="L433:N441" si="58">"0"</f>
        <v>0</v>
      </c>
      <c r="M433" t="str">
        <f t="shared" si="58"/>
        <v>0</v>
      </c>
      <c r="N433" t="str">
        <f t="shared" si="58"/>
        <v>0</v>
      </c>
    </row>
    <row r="434" spans="1:14" x14ac:dyDescent="0.3">
      <c r="A434" t="s">
        <v>17</v>
      </c>
      <c r="B434" t="s">
        <v>18</v>
      </c>
      <c r="C434" t="str">
        <f t="shared" si="53"/>
        <v>400</v>
      </c>
      <c r="D434" t="str">
        <f>"610514"</f>
        <v>610514</v>
      </c>
      <c r="E434" t="s">
        <v>19</v>
      </c>
      <c r="F434" t="s">
        <v>408</v>
      </c>
      <c r="G434">
        <v>250</v>
      </c>
      <c r="H434" t="str">
        <f>""</f>
        <v/>
      </c>
      <c r="I434">
        <v>163.74</v>
      </c>
      <c r="J434">
        <v>0</v>
      </c>
      <c r="K434" t="str">
        <f t="shared" si="57"/>
        <v>31000</v>
      </c>
      <c r="L434" t="str">
        <f t="shared" si="58"/>
        <v>0</v>
      </c>
      <c r="M434" t="str">
        <f t="shared" si="58"/>
        <v>0</v>
      </c>
      <c r="N434" t="str">
        <f t="shared" si="58"/>
        <v>0</v>
      </c>
    </row>
    <row r="435" spans="1:14" x14ac:dyDescent="0.3">
      <c r="A435" t="s">
        <v>17</v>
      </c>
      <c r="B435" t="s">
        <v>18</v>
      </c>
      <c r="C435" t="str">
        <f t="shared" si="53"/>
        <v>400</v>
      </c>
      <c r="D435" t="str">
        <f>"610515"</f>
        <v>610515</v>
      </c>
      <c r="E435" t="s">
        <v>19</v>
      </c>
      <c r="F435" t="s">
        <v>409</v>
      </c>
      <c r="G435">
        <v>250</v>
      </c>
      <c r="H435" t="str">
        <f>""</f>
        <v/>
      </c>
      <c r="I435">
        <v>5.5</v>
      </c>
      <c r="J435">
        <v>0</v>
      </c>
      <c r="K435" t="str">
        <f t="shared" si="57"/>
        <v>31000</v>
      </c>
      <c r="L435" t="str">
        <f t="shared" si="58"/>
        <v>0</v>
      </c>
      <c r="M435" t="str">
        <f t="shared" si="58"/>
        <v>0</v>
      </c>
      <c r="N435" t="str">
        <f t="shared" si="58"/>
        <v>0</v>
      </c>
    </row>
    <row r="436" spans="1:14" x14ac:dyDescent="0.3">
      <c r="A436" t="s">
        <v>17</v>
      </c>
      <c r="B436" t="s">
        <v>18</v>
      </c>
      <c r="C436" t="str">
        <f t="shared" si="53"/>
        <v>400</v>
      </c>
      <c r="D436" t="str">
        <f>"610516"</f>
        <v>610516</v>
      </c>
      <c r="E436" t="s">
        <v>19</v>
      </c>
      <c r="F436" t="s">
        <v>410</v>
      </c>
      <c r="G436">
        <v>250</v>
      </c>
      <c r="H436" t="str">
        <f>""</f>
        <v/>
      </c>
      <c r="I436">
        <v>5.5</v>
      </c>
      <c r="J436">
        <v>0</v>
      </c>
      <c r="K436" t="str">
        <f t="shared" si="57"/>
        <v>31000</v>
      </c>
      <c r="L436" t="str">
        <f t="shared" si="58"/>
        <v>0</v>
      </c>
      <c r="M436" t="str">
        <f t="shared" si="58"/>
        <v>0</v>
      </c>
      <c r="N436" t="str">
        <f t="shared" si="58"/>
        <v>0</v>
      </c>
    </row>
    <row r="437" spans="1:14" x14ac:dyDescent="0.3">
      <c r="A437" t="s">
        <v>17</v>
      </c>
      <c r="B437" t="s">
        <v>18</v>
      </c>
      <c r="C437" t="str">
        <f t="shared" si="53"/>
        <v>400</v>
      </c>
      <c r="D437" t="str">
        <f>"610518"</f>
        <v>610518</v>
      </c>
      <c r="E437" t="s">
        <v>19</v>
      </c>
      <c r="F437" t="s">
        <v>411</v>
      </c>
      <c r="G437">
        <v>250</v>
      </c>
      <c r="H437" t="str">
        <f>""</f>
        <v/>
      </c>
      <c r="I437">
        <v>5.99</v>
      </c>
      <c r="J437">
        <v>0</v>
      </c>
      <c r="K437" t="str">
        <f t="shared" si="57"/>
        <v>31000</v>
      </c>
      <c r="L437" t="str">
        <f t="shared" si="58"/>
        <v>0</v>
      </c>
      <c r="M437" t="str">
        <f t="shared" si="58"/>
        <v>0</v>
      </c>
      <c r="N437" t="str">
        <f t="shared" si="58"/>
        <v>0</v>
      </c>
    </row>
    <row r="438" spans="1:14" x14ac:dyDescent="0.3">
      <c r="A438" t="s">
        <v>17</v>
      </c>
      <c r="B438" t="s">
        <v>18</v>
      </c>
      <c r="C438" t="str">
        <f t="shared" si="53"/>
        <v>400</v>
      </c>
      <c r="D438" t="str">
        <f>"610519"</f>
        <v>610519</v>
      </c>
      <c r="E438" t="s">
        <v>19</v>
      </c>
      <c r="F438" t="s">
        <v>412</v>
      </c>
      <c r="G438">
        <v>250</v>
      </c>
      <c r="H438" t="str">
        <f>""</f>
        <v/>
      </c>
      <c r="I438">
        <v>5.99</v>
      </c>
      <c r="J438">
        <v>0</v>
      </c>
      <c r="K438" t="str">
        <f t="shared" si="57"/>
        <v>31000</v>
      </c>
      <c r="L438" t="str">
        <f t="shared" si="58"/>
        <v>0</v>
      </c>
      <c r="M438" t="str">
        <f t="shared" si="58"/>
        <v>0</v>
      </c>
      <c r="N438" t="str">
        <f t="shared" si="58"/>
        <v>0</v>
      </c>
    </row>
    <row r="439" spans="1:14" x14ac:dyDescent="0.3">
      <c r="A439" t="s">
        <v>17</v>
      </c>
      <c r="B439" t="s">
        <v>18</v>
      </c>
      <c r="C439" t="str">
        <f t="shared" si="53"/>
        <v>400</v>
      </c>
      <c r="D439" t="str">
        <f>"610520"</f>
        <v>610520</v>
      </c>
      <c r="E439" t="s">
        <v>19</v>
      </c>
      <c r="F439" t="s">
        <v>413</v>
      </c>
      <c r="G439">
        <v>250</v>
      </c>
      <c r="H439" t="str">
        <f>""</f>
        <v/>
      </c>
      <c r="I439">
        <v>5.99</v>
      </c>
      <c r="J439">
        <v>0</v>
      </c>
      <c r="K439" t="str">
        <f t="shared" si="57"/>
        <v>31000</v>
      </c>
      <c r="L439" t="str">
        <f t="shared" si="58"/>
        <v>0</v>
      </c>
      <c r="M439" t="str">
        <f t="shared" si="58"/>
        <v>0</v>
      </c>
      <c r="N439" t="str">
        <f t="shared" si="58"/>
        <v>0</v>
      </c>
    </row>
    <row r="440" spans="1:14" x14ac:dyDescent="0.3">
      <c r="A440" t="s">
        <v>17</v>
      </c>
      <c r="B440" t="s">
        <v>18</v>
      </c>
      <c r="C440" t="str">
        <f t="shared" si="53"/>
        <v>400</v>
      </c>
      <c r="D440" t="str">
        <f>"610524"</f>
        <v>610524</v>
      </c>
      <c r="E440" t="s">
        <v>19</v>
      </c>
      <c r="F440" t="s">
        <v>414</v>
      </c>
      <c r="G440">
        <v>250</v>
      </c>
      <c r="H440" t="str">
        <f>""</f>
        <v/>
      </c>
      <c r="I440">
        <v>4.5</v>
      </c>
      <c r="J440">
        <v>0</v>
      </c>
      <c r="K440" t="str">
        <f t="shared" si="57"/>
        <v>31000</v>
      </c>
      <c r="L440" t="str">
        <f t="shared" si="58"/>
        <v>0</v>
      </c>
      <c r="M440" t="str">
        <f t="shared" si="58"/>
        <v>0</v>
      </c>
      <c r="N440" t="str">
        <f t="shared" si="58"/>
        <v>0</v>
      </c>
    </row>
    <row r="441" spans="1:14" x14ac:dyDescent="0.3">
      <c r="A441" t="s">
        <v>17</v>
      </c>
      <c r="B441" t="s">
        <v>18</v>
      </c>
      <c r="C441" t="str">
        <f t="shared" si="53"/>
        <v>400</v>
      </c>
      <c r="D441" t="str">
        <f>"610525"</f>
        <v>610525</v>
      </c>
      <c r="E441" t="s">
        <v>19</v>
      </c>
      <c r="F441" t="s">
        <v>415</v>
      </c>
      <c r="G441">
        <v>250</v>
      </c>
      <c r="H441" t="str">
        <f>""</f>
        <v/>
      </c>
      <c r="I441">
        <v>6.4</v>
      </c>
      <c r="J441">
        <v>0</v>
      </c>
      <c r="K441" t="str">
        <f t="shared" si="57"/>
        <v>31000</v>
      </c>
      <c r="L441" t="str">
        <f t="shared" si="58"/>
        <v>0</v>
      </c>
      <c r="M441" t="str">
        <f t="shared" si="58"/>
        <v>0</v>
      </c>
      <c r="N441" t="str">
        <f t="shared" si="58"/>
        <v>0</v>
      </c>
    </row>
    <row r="442" spans="1:14" x14ac:dyDescent="0.3">
      <c r="A442" t="s">
        <v>17</v>
      </c>
      <c r="B442" t="s">
        <v>18</v>
      </c>
      <c r="C442" t="str">
        <f t="shared" si="53"/>
        <v>400</v>
      </c>
      <c r="D442" t="str">
        <f>"610526"</f>
        <v>610526</v>
      </c>
      <c r="E442" t="s">
        <v>19</v>
      </c>
      <c r="F442" t="s">
        <v>416</v>
      </c>
      <c r="G442">
        <v>250</v>
      </c>
      <c r="I442">
        <v>4.92</v>
      </c>
      <c r="J442">
        <v>0</v>
      </c>
      <c r="K442" t="str">
        <f t="shared" si="57"/>
        <v>31000</v>
      </c>
    </row>
    <row r="443" spans="1:14" x14ac:dyDescent="0.3">
      <c r="A443" t="s">
        <v>17</v>
      </c>
      <c r="B443" t="s">
        <v>18</v>
      </c>
      <c r="C443" t="str">
        <f t="shared" si="53"/>
        <v>400</v>
      </c>
      <c r="D443" t="str">
        <f>"610528"</f>
        <v>610528</v>
      </c>
      <c r="E443" t="s">
        <v>19</v>
      </c>
      <c r="F443" t="s">
        <v>417</v>
      </c>
      <c r="G443">
        <v>250</v>
      </c>
      <c r="H443" t="str">
        <f>""</f>
        <v/>
      </c>
      <c r="I443">
        <v>12.75</v>
      </c>
      <c r="J443">
        <v>0</v>
      </c>
      <c r="K443" t="str">
        <f t="shared" si="57"/>
        <v>31000</v>
      </c>
      <c r="L443" t="str">
        <f t="shared" ref="L443:N455" si="59">"0"</f>
        <v>0</v>
      </c>
      <c r="M443" t="str">
        <f t="shared" si="59"/>
        <v>0</v>
      </c>
      <c r="N443" t="str">
        <f t="shared" si="59"/>
        <v>0</v>
      </c>
    </row>
    <row r="444" spans="1:14" x14ac:dyDescent="0.3">
      <c r="A444" t="s">
        <v>17</v>
      </c>
      <c r="B444" t="s">
        <v>18</v>
      </c>
      <c r="C444" t="str">
        <f t="shared" si="53"/>
        <v>400</v>
      </c>
      <c r="D444" t="str">
        <f>"610529"</f>
        <v>610529</v>
      </c>
      <c r="E444" t="s">
        <v>19</v>
      </c>
      <c r="F444" t="s">
        <v>418</v>
      </c>
      <c r="G444">
        <v>250</v>
      </c>
      <c r="H444" t="str">
        <f>""</f>
        <v/>
      </c>
      <c r="I444">
        <v>6.5</v>
      </c>
      <c r="J444">
        <v>0</v>
      </c>
      <c r="K444" t="str">
        <f t="shared" si="57"/>
        <v>31000</v>
      </c>
      <c r="L444" t="str">
        <f t="shared" si="59"/>
        <v>0</v>
      </c>
      <c r="M444" t="str">
        <f t="shared" si="59"/>
        <v>0</v>
      </c>
      <c r="N444" t="str">
        <f t="shared" si="59"/>
        <v>0</v>
      </c>
    </row>
    <row r="445" spans="1:14" x14ac:dyDescent="0.3">
      <c r="A445" t="s">
        <v>17</v>
      </c>
      <c r="B445" t="s">
        <v>18</v>
      </c>
      <c r="C445" t="str">
        <f t="shared" si="53"/>
        <v>400</v>
      </c>
      <c r="D445" t="str">
        <f>"610530"</f>
        <v>610530</v>
      </c>
      <c r="E445" t="s">
        <v>19</v>
      </c>
      <c r="F445" t="s">
        <v>419</v>
      </c>
      <c r="G445">
        <v>250</v>
      </c>
      <c r="H445" t="str">
        <f>""</f>
        <v/>
      </c>
      <c r="I445">
        <v>7.15</v>
      </c>
      <c r="J445">
        <v>0</v>
      </c>
      <c r="K445" t="str">
        <f t="shared" si="57"/>
        <v>31000</v>
      </c>
      <c r="L445" t="str">
        <f t="shared" si="59"/>
        <v>0</v>
      </c>
      <c r="M445" t="str">
        <f t="shared" si="59"/>
        <v>0</v>
      </c>
      <c r="N445" t="str">
        <f t="shared" si="59"/>
        <v>0</v>
      </c>
    </row>
    <row r="446" spans="1:14" x14ac:dyDescent="0.3">
      <c r="A446" t="s">
        <v>17</v>
      </c>
      <c r="B446" t="s">
        <v>18</v>
      </c>
      <c r="C446" t="str">
        <f t="shared" si="53"/>
        <v>400</v>
      </c>
      <c r="D446" t="str">
        <f>"610531"</f>
        <v>610531</v>
      </c>
      <c r="E446" t="s">
        <v>19</v>
      </c>
      <c r="F446" t="s">
        <v>420</v>
      </c>
      <c r="G446">
        <v>250</v>
      </c>
      <c r="H446" t="str">
        <f>""</f>
        <v/>
      </c>
      <c r="I446">
        <v>5</v>
      </c>
      <c r="J446">
        <v>0</v>
      </c>
      <c r="K446" t="str">
        <f t="shared" si="57"/>
        <v>31000</v>
      </c>
      <c r="L446" t="str">
        <f t="shared" si="59"/>
        <v>0</v>
      </c>
      <c r="M446" t="str">
        <f t="shared" si="59"/>
        <v>0</v>
      </c>
      <c r="N446" t="str">
        <f t="shared" si="59"/>
        <v>0</v>
      </c>
    </row>
    <row r="447" spans="1:14" x14ac:dyDescent="0.3">
      <c r="A447" t="s">
        <v>17</v>
      </c>
      <c r="B447" t="s">
        <v>18</v>
      </c>
      <c r="C447" t="str">
        <f t="shared" si="53"/>
        <v>400</v>
      </c>
      <c r="D447" t="str">
        <f>"610534"</f>
        <v>610534</v>
      </c>
      <c r="E447" t="s">
        <v>19</v>
      </c>
      <c r="F447" t="s">
        <v>421</v>
      </c>
      <c r="G447">
        <v>250</v>
      </c>
      <c r="H447" t="str">
        <f>""</f>
        <v/>
      </c>
      <c r="I447">
        <v>4.75</v>
      </c>
      <c r="J447">
        <v>0</v>
      </c>
      <c r="K447" t="str">
        <f t="shared" si="57"/>
        <v>31000</v>
      </c>
      <c r="L447" t="str">
        <f t="shared" si="59"/>
        <v>0</v>
      </c>
      <c r="M447" t="str">
        <f t="shared" si="59"/>
        <v>0</v>
      </c>
      <c r="N447" t="str">
        <f t="shared" si="59"/>
        <v>0</v>
      </c>
    </row>
    <row r="448" spans="1:14" x14ac:dyDescent="0.3">
      <c r="A448" t="s">
        <v>17</v>
      </c>
      <c r="B448" t="s">
        <v>18</v>
      </c>
      <c r="C448" t="str">
        <f t="shared" si="53"/>
        <v>400</v>
      </c>
      <c r="D448" t="str">
        <f>"610536"</f>
        <v>610536</v>
      </c>
      <c r="E448" t="s">
        <v>19</v>
      </c>
      <c r="F448" t="s">
        <v>422</v>
      </c>
      <c r="G448">
        <v>250</v>
      </c>
      <c r="H448" t="str">
        <f>""</f>
        <v/>
      </c>
      <c r="I448">
        <v>10.95</v>
      </c>
      <c r="J448">
        <v>0</v>
      </c>
      <c r="K448" t="str">
        <f t="shared" si="57"/>
        <v>31000</v>
      </c>
      <c r="L448" t="str">
        <f t="shared" si="59"/>
        <v>0</v>
      </c>
      <c r="M448" t="str">
        <f t="shared" si="59"/>
        <v>0</v>
      </c>
      <c r="N448" t="str">
        <f t="shared" si="59"/>
        <v>0</v>
      </c>
    </row>
    <row r="449" spans="1:14" x14ac:dyDescent="0.3">
      <c r="A449" t="s">
        <v>17</v>
      </c>
      <c r="B449" t="s">
        <v>18</v>
      </c>
      <c r="C449" t="str">
        <f t="shared" si="53"/>
        <v>400</v>
      </c>
      <c r="D449" t="str">
        <f>"610540"</f>
        <v>610540</v>
      </c>
      <c r="E449" t="s">
        <v>19</v>
      </c>
      <c r="F449" t="s">
        <v>423</v>
      </c>
      <c r="G449">
        <v>250</v>
      </c>
      <c r="H449" t="str">
        <f>""</f>
        <v/>
      </c>
      <c r="I449">
        <v>7.15</v>
      </c>
      <c r="J449">
        <v>0</v>
      </c>
      <c r="K449" t="str">
        <f t="shared" si="57"/>
        <v>31000</v>
      </c>
      <c r="L449" t="str">
        <f t="shared" si="59"/>
        <v>0</v>
      </c>
      <c r="M449" t="str">
        <f t="shared" si="59"/>
        <v>0</v>
      </c>
      <c r="N449" t="str">
        <f t="shared" si="59"/>
        <v>0</v>
      </c>
    </row>
    <row r="450" spans="1:14" x14ac:dyDescent="0.3">
      <c r="A450" t="s">
        <v>17</v>
      </c>
      <c r="B450" t="s">
        <v>18</v>
      </c>
      <c r="C450" t="str">
        <f t="shared" ref="C450:C513" si="60">"400"</f>
        <v>400</v>
      </c>
      <c r="D450" t="str">
        <f>"610541"</f>
        <v>610541</v>
      </c>
      <c r="E450" t="s">
        <v>19</v>
      </c>
      <c r="F450" t="s">
        <v>424</v>
      </c>
      <c r="G450">
        <v>250</v>
      </c>
      <c r="H450" t="str">
        <f>""</f>
        <v/>
      </c>
      <c r="I450">
        <v>25.83</v>
      </c>
      <c r="J450">
        <v>0</v>
      </c>
      <c r="K450" t="str">
        <f t="shared" si="57"/>
        <v>31000</v>
      </c>
      <c r="L450" t="str">
        <f t="shared" si="59"/>
        <v>0</v>
      </c>
      <c r="M450" t="str">
        <f t="shared" si="59"/>
        <v>0</v>
      </c>
      <c r="N450" t="str">
        <f t="shared" si="59"/>
        <v>0</v>
      </c>
    </row>
    <row r="451" spans="1:14" x14ac:dyDescent="0.3">
      <c r="A451" t="s">
        <v>17</v>
      </c>
      <c r="B451" t="s">
        <v>18</v>
      </c>
      <c r="C451" t="str">
        <f t="shared" si="60"/>
        <v>400</v>
      </c>
      <c r="D451" t="str">
        <f>"610543"</f>
        <v>610543</v>
      </c>
      <c r="E451" t="s">
        <v>19</v>
      </c>
      <c r="F451" t="s">
        <v>425</v>
      </c>
      <c r="G451">
        <v>250</v>
      </c>
      <c r="H451" t="str">
        <f>""</f>
        <v/>
      </c>
      <c r="I451">
        <v>32</v>
      </c>
      <c r="J451">
        <v>0</v>
      </c>
      <c r="K451" t="str">
        <f t="shared" si="57"/>
        <v>31000</v>
      </c>
      <c r="L451" t="str">
        <f t="shared" si="59"/>
        <v>0</v>
      </c>
      <c r="M451" t="str">
        <f t="shared" si="59"/>
        <v>0</v>
      </c>
      <c r="N451" t="str">
        <f t="shared" si="59"/>
        <v>0</v>
      </c>
    </row>
    <row r="452" spans="1:14" x14ac:dyDescent="0.3">
      <c r="A452" t="s">
        <v>17</v>
      </c>
      <c r="B452" t="s">
        <v>18</v>
      </c>
      <c r="C452" t="str">
        <f t="shared" si="60"/>
        <v>400</v>
      </c>
      <c r="D452" t="str">
        <f>"610545"</f>
        <v>610545</v>
      </c>
      <c r="E452" t="s">
        <v>19</v>
      </c>
      <c r="F452" t="s">
        <v>426</v>
      </c>
      <c r="G452">
        <v>250</v>
      </c>
      <c r="H452" t="str">
        <f>""</f>
        <v/>
      </c>
      <c r="I452">
        <v>4.5</v>
      </c>
      <c r="J452">
        <v>0</v>
      </c>
      <c r="K452" t="str">
        <f t="shared" si="57"/>
        <v>31000</v>
      </c>
      <c r="L452" t="str">
        <f t="shared" si="59"/>
        <v>0</v>
      </c>
      <c r="M452" t="str">
        <f t="shared" si="59"/>
        <v>0</v>
      </c>
      <c r="N452" t="str">
        <f t="shared" si="59"/>
        <v>0</v>
      </c>
    </row>
    <row r="453" spans="1:14" x14ac:dyDescent="0.3">
      <c r="A453" t="s">
        <v>17</v>
      </c>
      <c r="B453" t="s">
        <v>18</v>
      </c>
      <c r="C453" t="str">
        <f t="shared" si="60"/>
        <v>400</v>
      </c>
      <c r="D453" t="str">
        <f>"610546"</f>
        <v>610546</v>
      </c>
      <c r="E453" t="s">
        <v>19</v>
      </c>
      <c r="F453" t="s">
        <v>427</v>
      </c>
      <c r="G453">
        <v>250</v>
      </c>
      <c r="H453" t="str">
        <f>""</f>
        <v/>
      </c>
      <c r="I453">
        <v>5.95</v>
      </c>
      <c r="J453">
        <v>0</v>
      </c>
      <c r="K453" t="str">
        <f t="shared" si="57"/>
        <v>31000</v>
      </c>
      <c r="L453" t="str">
        <f t="shared" si="59"/>
        <v>0</v>
      </c>
      <c r="M453" t="str">
        <f t="shared" si="59"/>
        <v>0</v>
      </c>
      <c r="N453" t="str">
        <f t="shared" si="59"/>
        <v>0</v>
      </c>
    </row>
    <row r="454" spans="1:14" x14ac:dyDescent="0.3">
      <c r="A454" t="s">
        <v>17</v>
      </c>
      <c r="B454" t="s">
        <v>18</v>
      </c>
      <c r="C454" t="str">
        <f t="shared" si="60"/>
        <v>400</v>
      </c>
      <c r="D454" t="str">
        <f>"610548"</f>
        <v>610548</v>
      </c>
      <c r="E454" t="s">
        <v>19</v>
      </c>
      <c r="F454" t="s">
        <v>428</v>
      </c>
      <c r="G454">
        <v>250</v>
      </c>
      <c r="H454" t="str">
        <f>""</f>
        <v/>
      </c>
      <c r="I454">
        <v>74.88</v>
      </c>
      <c r="J454">
        <v>0</v>
      </c>
      <c r="K454" t="str">
        <f t="shared" si="57"/>
        <v>31000</v>
      </c>
      <c r="L454" t="str">
        <f t="shared" si="59"/>
        <v>0</v>
      </c>
      <c r="M454" t="str">
        <f t="shared" si="59"/>
        <v>0</v>
      </c>
      <c r="N454" t="str">
        <f t="shared" si="59"/>
        <v>0</v>
      </c>
    </row>
    <row r="455" spans="1:14" x14ac:dyDescent="0.3">
      <c r="A455" t="s">
        <v>17</v>
      </c>
      <c r="B455" t="s">
        <v>18</v>
      </c>
      <c r="C455" t="str">
        <f t="shared" si="60"/>
        <v>400</v>
      </c>
      <c r="D455" t="str">
        <f>"610550"</f>
        <v>610550</v>
      </c>
      <c r="E455" t="s">
        <v>19</v>
      </c>
      <c r="F455" t="s">
        <v>429</v>
      </c>
      <c r="G455">
        <v>250</v>
      </c>
      <c r="H455" t="str">
        <f>""</f>
        <v/>
      </c>
      <c r="I455">
        <v>4.5</v>
      </c>
      <c r="J455">
        <v>0</v>
      </c>
      <c r="K455" t="str">
        <f t="shared" si="57"/>
        <v>31000</v>
      </c>
      <c r="L455" t="str">
        <f t="shared" si="59"/>
        <v>0</v>
      </c>
      <c r="M455" t="str">
        <f t="shared" si="59"/>
        <v>0</v>
      </c>
      <c r="N455" t="str">
        <f t="shared" si="59"/>
        <v>0</v>
      </c>
    </row>
    <row r="456" spans="1:14" x14ac:dyDescent="0.3">
      <c r="A456" t="s">
        <v>17</v>
      </c>
      <c r="B456" t="s">
        <v>18</v>
      </c>
      <c r="C456" t="str">
        <f t="shared" si="60"/>
        <v>400</v>
      </c>
      <c r="D456" t="str">
        <f>"610551"</f>
        <v>610551</v>
      </c>
      <c r="E456" t="s">
        <v>19</v>
      </c>
      <c r="F456" t="s">
        <v>430</v>
      </c>
      <c r="G456">
        <v>250</v>
      </c>
      <c r="I456">
        <v>2.5</v>
      </c>
      <c r="J456">
        <v>0</v>
      </c>
      <c r="K456" t="str">
        <f t="shared" si="57"/>
        <v>31000</v>
      </c>
    </row>
    <row r="457" spans="1:14" x14ac:dyDescent="0.3">
      <c r="A457" t="s">
        <v>17</v>
      </c>
      <c r="B457" t="s">
        <v>18</v>
      </c>
      <c r="C457" t="str">
        <f t="shared" si="60"/>
        <v>400</v>
      </c>
      <c r="D457" t="str">
        <f>"610555"</f>
        <v>610555</v>
      </c>
      <c r="E457" t="s">
        <v>19</v>
      </c>
      <c r="F457" t="s">
        <v>431</v>
      </c>
      <c r="G457">
        <v>250</v>
      </c>
      <c r="H457" t="str">
        <f>""</f>
        <v/>
      </c>
      <c r="I457">
        <v>5.9</v>
      </c>
      <c r="J457">
        <v>0</v>
      </c>
      <c r="K457" t="str">
        <f t="shared" si="57"/>
        <v>31000</v>
      </c>
      <c r="L457" t="str">
        <f t="shared" ref="L457:N474" si="61">"0"</f>
        <v>0</v>
      </c>
      <c r="M457" t="str">
        <f t="shared" si="61"/>
        <v>0</v>
      </c>
      <c r="N457" t="str">
        <f t="shared" si="61"/>
        <v>0</v>
      </c>
    </row>
    <row r="458" spans="1:14" x14ac:dyDescent="0.3">
      <c r="A458" t="s">
        <v>17</v>
      </c>
      <c r="B458" t="s">
        <v>18</v>
      </c>
      <c r="C458" t="str">
        <f t="shared" si="60"/>
        <v>400</v>
      </c>
      <c r="D458" t="str">
        <f>"610557"</f>
        <v>610557</v>
      </c>
      <c r="E458" t="s">
        <v>19</v>
      </c>
      <c r="F458" t="s">
        <v>432</v>
      </c>
      <c r="G458">
        <v>250</v>
      </c>
      <c r="H458" t="str">
        <f>""</f>
        <v/>
      </c>
      <c r="I458">
        <v>7.25</v>
      </c>
      <c r="J458">
        <v>0</v>
      </c>
      <c r="K458" t="str">
        <f t="shared" si="57"/>
        <v>31000</v>
      </c>
      <c r="L458" t="str">
        <f t="shared" si="61"/>
        <v>0</v>
      </c>
      <c r="M458" t="str">
        <f t="shared" si="61"/>
        <v>0</v>
      </c>
      <c r="N458" t="str">
        <f t="shared" si="61"/>
        <v>0</v>
      </c>
    </row>
    <row r="459" spans="1:14" x14ac:dyDescent="0.3">
      <c r="A459" t="s">
        <v>17</v>
      </c>
      <c r="B459" t="s">
        <v>18</v>
      </c>
      <c r="C459" t="str">
        <f t="shared" si="60"/>
        <v>400</v>
      </c>
      <c r="D459" t="str">
        <f>"610573"</f>
        <v>610573</v>
      </c>
      <c r="E459" t="s">
        <v>19</v>
      </c>
      <c r="F459" t="s">
        <v>433</v>
      </c>
      <c r="G459">
        <v>250</v>
      </c>
      <c r="H459" t="str">
        <f>""</f>
        <v/>
      </c>
      <c r="I459">
        <v>5.5</v>
      </c>
      <c r="J459">
        <v>0</v>
      </c>
      <c r="K459" t="str">
        <f t="shared" si="57"/>
        <v>31000</v>
      </c>
      <c r="L459" t="str">
        <f t="shared" si="61"/>
        <v>0</v>
      </c>
      <c r="M459" t="str">
        <f t="shared" si="61"/>
        <v>0</v>
      </c>
      <c r="N459" t="str">
        <f t="shared" si="61"/>
        <v>0</v>
      </c>
    </row>
    <row r="460" spans="1:14" x14ac:dyDescent="0.3">
      <c r="A460" t="s">
        <v>17</v>
      </c>
      <c r="B460" t="s">
        <v>18</v>
      </c>
      <c r="C460" t="str">
        <f t="shared" si="60"/>
        <v>400</v>
      </c>
      <c r="D460" t="str">
        <f>"610578"</f>
        <v>610578</v>
      </c>
      <c r="E460" t="s">
        <v>19</v>
      </c>
      <c r="F460" t="s">
        <v>434</v>
      </c>
      <c r="G460">
        <v>250</v>
      </c>
      <c r="H460" t="str">
        <f>""</f>
        <v/>
      </c>
      <c r="I460">
        <v>7.25</v>
      </c>
      <c r="J460">
        <v>0</v>
      </c>
      <c r="K460" t="str">
        <f t="shared" si="57"/>
        <v>31000</v>
      </c>
      <c r="L460" t="str">
        <f t="shared" si="61"/>
        <v>0</v>
      </c>
      <c r="M460" t="str">
        <f t="shared" si="61"/>
        <v>0</v>
      </c>
      <c r="N460" t="str">
        <f t="shared" si="61"/>
        <v>0</v>
      </c>
    </row>
    <row r="461" spans="1:14" x14ac:dyDescent="0.3">
      <c r="A461" t="s">
        <v>17</v>
      </c>
      <c r="B461" t="s">
        <v>18</v>
      </c>
      <c r="C461" t="str">
        <f t="shared" si="60"/>
        <v>400</v>
      </c>
      <c r="D461" t="str">
        <f>"610579"</f>
        <v>610579</v>
      </c>
      <c r="E461" t="s">
        <v>19</v>
      </c>
      <c r="F461" t="s">
        <v>435</v>
      </c>
      <c r="G461">
        <v>250</v>
      </c>
      <c r="H461" t="str">
        <f>""</f>
        <v/>
      </c>
      <c r="I461">
        <v>7.25</v>
      </c>
      <c r="J461">
        <v>0</v>
      </c>
      <c r="K461" t="str">
        <f t="shared" si="57"/>
        <v>31000</v>
      </c>
      <c r="L461" t="str">
        <f t="shared" si="61"/>
        <v>0</v>
      </c>
      <c r="M461" t="str">
        <f t="shared" si="61"/>
        <v>0</v>
      </c>
      <c r="N461" t="str">
        <f t="shared" si="61"/>
        <v>0</v>
      </c>
    </row>
    <row r="462" spans="1:14" x14ac:dyDescent="0.3">
      <c r="A462" t="s">
        <v>17</v>
      </c>
      <c r="B462" t="s">
        <v>18</v>
      </c>
      <c r="C462" t="str">
        <f t="shared" si="60"/>
        <v>400</v>
      </c>
      <c r="D462" t="str">
        <f>"610580"</f>
        <v>610580</v>
      </c>
      <c r="E462" t="s">
        <v>19</v>
      </c>
      <c r="F462" t="s">
        <v>436</v>
      </c>
      <c r="G462">
        <v>250</v>
      </c>
      <c r="H462" t="str">
        <f>""</f>
        <v/>
      </c>
      <c r="I462">
        <v>5.5</v>
      </c>
      <c r="J462">
        <v>0</v>
      </c>
      <c r="K462" t="str">
        <f t="shared" si="57"/>
        <v>31000</v>
      </c>
      <c r="L462" t="str">
        <f t="shared" si="61"/>
        <v>0</v>
      </c>
      <c r="M462" t="str">
        <f t="shared" si="61"/>
        <v>0</v>
      </c>
      <c r="N462" t="str">
        <f t="shared" si="61"/>
        <v>0</v>
      </c>
    </row>
    <row r="463" spans="1:14" x14ac:dyDescent="0.3">
      <c r="A463" t="s">
        <v>17</v>
      </c>
      <c r="B463" t="s">
        <v>18</v>
      </c>
      <c r="C463" t="str">
        <f t="shared" si="60"/>
        <v>400</v>
      </c>
      <c r="D463" t="str">
        <f>"610581"</f>
        <v>610581</v>
      </c>
      <c r="E463" t="s">
        <v>19</v>
      </c>
      <c r="F463" t="s">
        <v>437</v>
      </c>
      <c r="G463">
        <v>250</v>
      </c>
      <c r="H463" t="str">
        <f>""</f>
        <v/>
      </c>
      <c r="I463">
        <v>6.5</v>
      </c>
      <c r="J463">
        <v>0</v>
      </c>
      <c r="K463" t="str">
        <f t="shared" si="57"/>
        <v>31000</v>
      </c>
      <c r="L463" t="str">
        <f t="shared" si="61"/>
        <v>0</v>
      </c>
      <c r="M463" t="str">
        <f t="shared" si="61"/>
        <v>0</v>
      </c>
      <c r="N463" t="str">
        <f t="shared" si="61"/>
        <v>0</v>
      </c>
    </row>
    <row r="464" spans="1:14" x14ac:dyDescent="0.3">
      <c r="A464" t="s">
        <v>17</v>
      </c>
      <c r="B464" t="s">
        <v>18</v>
      </c>
      <c r="C464" t="str">
        <f t="shared" si="60"/>
        <v>400</v>
      </c>
      <c r="D464" t="str">
        <f>"610584"</f>
        <v>610584</v>
      </c>
      <c r="E464" t="s">
        <v>19</v>
      </c>
      <c r="F464" t="s">
        <v>438</v>
      </c>
      <c r="G464">
        <v>250</v>
      </c>
      <c r="H464" t="str">
        <f>""</f>
        <v/>
      </c>
      <c r="I464">
        <v>43</v>
      </c>
      <c r="J464">
        <v>0</v>
      </c>
      <c r="K464" t="str">
        <f t="shared" si="57"/>
        <v>31000</v>
      </c>
      <c r="L464" t="str">
        <f t="shared" si="61"/>
        <v>0</v>
      </c>
      <c r="M464" t="str">
        <f t="shared" si="61"/>
        <v>0</v>
      </c>
      <c r="N464" t="str">
        <f t="shared" si="61"/>
        <v>0</v>
      </c>
    </row>
    <row r="465" spans="1:14" x14ac:dyDescent="0.3">
      <c r="A465" t="s">
        <v>17</v>
      </c>
      <c r="B465" t="s">
        <v>18</v>
      </c>
      <c r="C465" t="str">
        <f t="shared" si="60"/>
        <v>400</v>
      </c>
      <c r="D465" t="str">
        <f>"610585"</f>
        <v>610585</v>
      </c>
      <c r="E465" t="s">
        <v>19</v>
      </c>
      <c r="F465" t="s">
        <v>439</v>
      </c>
      <c r="G465">
        <v>250</v>
      </c>
      <c r="H465" t="str">
        <f>""</f>
        <v/>
      </c>
      <c r="I465">
        <v>5.95</v>
      </c>
      <c r="J465">
        <v>0</v>
      </c>
      <c r="K465" t="str">
        <f t="shared" si="57"/>
        <v>31000</v>
      </c>
      <c r="L465" t="str">
        <f t="shared" si="61"/>
        <v>0</v>
      </c>
      <c r="M465" t="str">
        <f t="shared" si="61"/>
        <v>0</v>
      </c>
      <c r="N465" t="str">
        <f t="shared" si="61"/>
        <v>0</v>
      </c>
    </row>
    <row r="466" spans="1:14" x14ac:dyDescent="0.3">
      <c r="A466" t="s">
        <v>17</v>
      </c>
      <c r="B466" t="s">
        <v>18</v>
      </c>
      <c r="C466" t="str">
        <f t="shared" si="60"/>
        <v>400</v>
      </c>
      <c r="D466" t="str">
        <f>"610592"</f>
        <v>610592</v>
      </c>
      <c r="E466" t="s">
        <v>19</v>
      </c>
      <c r="F466" t="s">
        <v>440</v>
      </c>
      <c r="G466">
        <v>250</v>
      </c>
      <c r="H466" t="str">
        <f>""</f>
        <v/>
      </c>
      <c r="I466">
        <v>260</v>
      </c>
      <c r="J466">
        <v>0</v>
      </c>
      <c r="K466" t="str">
        <f t="shared" si="57"/>
        <v>31000</v>
      </c>
      <c r="L466" t="str">
        <f t="shared" si="61"/>
        <v>0</v>
      </c>
      <c r="M466" t="str">
        <f t="shared" si="61"/>
        <v>0</v>
      </c>
      <c r="N466" t="str">
        <f t="shared" si="61"/>
        <v>0</v>
      </c>
    </row>
    <row r="467" spans="1:14" x14ac:dyDescent="0.3">
      <c r="A467" t="s">
        <v>17</v>
      </c>
      <c r="B467" t="s">
        <v>18</v>
      </c>
      <c r="C467" t="str">
        <f t="shared" si="60"/>
        <v>400</v>
      </c>
      <c r="D467" t="str">
        <f>"610593"</f>
        <v>610593</v>
      </c>
      <c r="E467" t="s">
        <v>19</v>
      </c>
      <c r="F467" t="s">
        <v>441</v>
      </c>
      <c r="G467">
        <v>250</v>
      </c>
      <c r="H467" t="str">
        <f>""</f>
        <v/>
      </c>
      <c r="I467">
        <v>369.6</v>
      </c>
      <c r="J467">
        <v>0</v>
      </c>
      <c r="K467" t="str">
        <f t="shared" si="57"/>
        <v>31000</v>
      </c>
      <c r="L467" t="str">
        <f t="shared" si="61"/>
        <v>0</v>
      </c>
      <c r="M467" t="str">
        <f t="shared" si="61"/>
        <v>0</v>
      </c>
      <c r="N467" t="str">
        <f t="shared" si="61"/>
        <v>0</v>
      </c>
    </row>
    <row r="468" spans="1:14" x14ac:dyDescent="0.3">
      <c r="A468" t="s">
        <v>17</v>
      </c>
      <c r="B468" t="s">
        <v>18</v>
      </c>
      <c r="C468" t="str">
        <f t="shared" si="60"/>
        <v>400</v>
      </c>
      <c r="D468" t="str">
        <f>"610596"</f>
        <v>610596</v>
      </c>
      <c r="E468" t="s">
        <v>19</v>
      </c>
      <c r="F468" t="s">
        <v>442</v>
      </c>
      <c r="G468">
        <v>250</v>
      </c>
      <c r="H468" t="str">
        <f>""</f>
        <v/>
      </c>
      <c r="I468">
        <v>50.03</v>
      </c>
      <c r="J468">
        <v>0</v>
      </c>
      <c r="K468" t="str">
        <f t="shared" si="57"/>
        <v>31000</v>
      </c>
      <c r="L468" t="str">
        <f t="shared" si="61"/>
        <v>0</v>
      </c>
      <c r="M468" t="str">
        <f t="shared" si="61"/>
        <v>0</v>
      </c>
      <c r="N468" t="str">
        <f t="shared" si="61"/>
        <v>0</v>
      </c>
    </row>
    <row r="469" spans="1:14" x14ac:dyDescent="0.3">
      <c r="A469" t="s">
        <v>17</v>
      </c>
      <c r="B469" t="s">
        <v>18</v>
      </c>
      <c r="C469" t="str">
        <f t="shared" si="60"/>
        <v>400</v>
      </c>
      <c r="D469" t="str">
        <f>"610597"</f>
        <v>610597</v>
      </c>
      <c r="E469" t="s">
        <v>19</v>
      </c>
      <c r="F469" t="s">
        <v>443</v>
      </c>
      <c r="G469">
        <v>250</v>
      </c>
      <c r="H469" t="str">
        <f>""</f>
        <v/>
      </c>
      <c r="I469">
        <v>125.61</v>
      </c>
      <c r="J469">
        <v>0</v>
      </c>
      <c r="K469" t="str">
        <f t="shared" si="57"/>
        <v>31000</v>
      </c>
      <c r="L469" t="str">
        <f t="shared" si="61"/>
        <v>0</v>
      </c>
      <c r="M469" t="str">
        <f t="shared" si="61"/>
        <v>0</v>
      </c>
      <c r="N469" t="str">
        <f t="shared" si="61"/>
        <v>0</v>
      </c>
    </row>
    <row r="470" spans="1:14" x14ac:dyDescent="0.3">
      <c r="A470" t="s">
        <v>17</v>
      </c>
      <c r="B470" t="s">
        <v>18</v>
      </c>
      <c r="C470" t="str">
        <f t="shared" si="60"/>
        <v>400</v>
      </c>
      <c r="D470" t="str">
        <f>"610598"</f>
        <v>610598</v>
      </c>
      <c r="E470" t="s">
        <v>19</v>
      </c>
      <c r="F470" t="s">
        <v>444</v>
      </c>
      <c r="G470">
        <v>250</v>
      </c>
      <c r="H470" t="str">
        <f>""</f>
        <v/>
      </c>
      <c r="I470">
        <v>5.5</v>
      </c>
      <c r="J470">
        <v>0</v>
      </c>
      <c r="K470" t="str">
        <f t="shared" si="57"/>
        <v>31000</v>
      </c>
      <c r="L470" t="str">
        <f t="shared" si="61"/>
        <v>0</v>
      </c>
      <c r="M470" t="str">
        <f t="shared" si="61"/>
        <v>0</v>
      </c>
      <c r="N470" t="str">
        <f t="shared" si="61"/>
        <v>0</v>
      </c>
    </row>
    <row r="471" spans="1:14" x14ac:dyDescent="0.3">
      <c r="A471" t="s">
        <v>17</v>
      </c>
      <c r="B471" t="s">
        <v>18</v>
      </c>
      <c r="C471" t="str">
        <f t="shared" si="60"/>
        <v>400</v>
      </c>
      <c r="D471" t="str">
        <f>"610601"</f>
        <v>610601</v>
      </c>
      <c r="E471" t="s">
        <v>19</v>
      </c>
      <c r="F471" t="s">
        <v>445</v>
      </c>
      <c r="G471">
        <v>250</v>
      </c>
      <c r="I471">
        <v>3.5</v>
      </c>
      <c r="J471">
        <v>0</v>
      </c>
      <c r="K471" t="str">
        <f t="shared" si="57"/>
        <v>31000</v>
      </c>
      <c r="L471" t="str">
        <f t="shared" si="61"/>
        <v>0</v>
      </c>
      <c r="M471" t="str">
        <f t="shared" si="61"/>
        <v>0</v>
      </c>
      <c r="N471" t="str">
        <f t="shared" si="61"/>
        <v>0</v>
      </c>
    </row>
    <row r="472" spans="1:14" x14ac:dyDescent="0.3">
      <c r="A472" t="s">
        <v>17</v>
      </c>
      <c r="B472" t="s">
        <v>18</v>
      </c>
      <c r="C472" t="str">
        <f t="shared" si="60"/>
        <v>400</v>
      </c>
      <c r="D472" t="str">
        <f>"610602"</f>
        <v>610602</v>
      </c>
      <c r="E472" t="s">
        <v>19</v>
      </c>
      <c r="F472" t="s">
        <v>446</v>
      </c>
      <c r="G472">
        <v>250</v>
      </c>
      <c r="H472" t="str">
        <f>""</f>
        <v/>
      </c>
      <c r="I472">
        <v>2.5</v>
      </c>
      <c r="J472">
        <v>0</v>
      </c>
      <c r="K472" t="str">
        <f t="shared" si="57"/>
        <v>31000</v>
      </c>
      <c r="L472" t="str">
        <f t="shared" si="61"/>
        <v>0</v>
      </c>
      <c r="M472" t="str">
        <f t="shared" si="61"/>
        <v>0</v>
      </c>
      <c r="N472" t="str">
        <f t="shared" si="61"/>
        <v>0</v>
      </c>
    </row>
    <row r="473" spans="1:14" x14ac:dyDescent="0.3">
      <c r="A473" t="s">
        <v>17</v>
      </c>
      <c r="B473" t="s">
        <v>18</v>
      </c>
      <c r="C473" t="str">
        <f t="shared" si="60"/>
        <v>400</v>
      </c>
      <c r="D473" t="str">
        <f>"610610"</f>
        <v>610610</v>
      </c>
      <c r="E473" t="s">
        <v>19</v>
      </c>
      <c r="F473" t="s">
        <v>447</v>
      </c>
      <c r="G473">
        <v>250</v>
      </c>
      <c r="H473" t="str">
        <f>""</f>
        <v/>
      </c>
      <c r="I473">
        <v>125</v>
      </c>
      <c r="J473">
        <v>0</v>
      </c>
      <c r="K473" t="str">
        <f t="shared" si="57"/>
        <v>31000</v>
      </c>
      <c r="L473" t="str">
        <f t="shared" si="61"/>
        <v>0</v>
      </c>
      <c r="M473" t="str">
        <f t="shared" si="61"/>
        <v>0</v>
      </c>
      <c r="N473" t="str">
        <f t="shared" si="61"/>
        <v>0</v>
      </c>
    </row>
    <row r="474" spans="1:14" x14ac:dyDescent="0.3">
      <c r="A474" t="s">
        <v>17</v>
      </c>
      <c r="B474" t="s">
        <v>18</v>
      </c>
      <c r="C474" t="str">
        <f t="shared" si="60"/>
        <v>400</v>
      </c>
      <c r="D474" t="str">
        <f>"610611"</f>
        <v>610611</v>
      </c>
      <c r="E474" t="s">
        <v>19</v>
      </c>
      <c r="F474" t="s">
        <v>448</v>
      </c>
      <c r="G474">
        <v>250</v>
      </c>
      <c r="H474" t="str">
        <f>""</f>
        <v/>
      </c>
      <c r="I474">
        <v>4.5</v>
      </c>
      <c r="J474">
        <v>0</v>
      </c>
      <c r="K474" t="str">
        <f t="shared" si="57"/>
        <v>31000</v>
      </c>
      <c r="L474" t="str">
        <f t="shared" si="61"/>
        <v>0</v>
      </c>
      <c r="M474" t="str">
        <f t="shared" si="61"/>
        <v>0</v>
      </c>
      <c r="N474" t="str">
        <f t="shared" si="61"/>
        <v>0</v>
      </c>
    </row>
    <row r="475" spans="1:14" x14ac:dyDescent="0.3">
      <c r="A475" t="s">
        <v>17</v>
      </c>
      <c r="B475" t="s">
        <v>18</v>
      </c>
      <c r="C475" t="str">
        <f t="shared" si="60"/>
        <v>400</v>
      </c>
      <c r="D475" t="str">
        <f>"610616"</f>
        <v>610616</v>
      </c>
      <c r="E475" t="s">
        <v>19</v>
      </c>
      <c r="F475" t="s">
        <v>449</v>
      </c>
      <c r="G475">
        <v>250</v>
      </c>
      <c r="I475">
        <v>7.5</v>
      </c>
      <c r="J475">
        <v>0</v>
      </c>
      <c r="K475" t="str">
        <f t="shared" si="57"/>
        <v>31000</v>
      </c>
    </row>
    <row r="476" spans="1:14" x14ac:dyDescent="0.3">
      <c r="A476" t="s">
        <v>17</v>
      </c>
      <c r="B476" t="s">
        <v>18</v>
      </c>
      <c r="C476" t="str">
        <f t="shared" si="60"/>
        <v>400</v>
      </c>
      <c r="D476" t="str">
        <f>"610619"</f>
        <v>610619</v>
      </c>
      <c r="E476" t="s">
        <v>19</v>
      </c>
      <c r="F476" t="s">
        <v>450</v>
      </c>
      <c r="G476">
        <v>250</v>
      </c>
      <c r="H476" t="str">
        <f>""</f>
        <v/>
      </c>
      <c r="I476">
        <v>38.32</v>
      </c>
      <c r="J476">
        <v>0</v>
      </c>
      <c r="K476" t="str">
        <f t="shared" si="57"/>
        <v>31000</v>
      </c>
      <c r="L476" t="str">
        <f t="shared" ref="L476:N482" si="62">"0"</f>
        <v>0</v>
      </c>
      <c r="M476" t="str">
        <f t="shared" si="62"/>
        <v>0</v>
      </c>
      <c r="N476" t="str">
        <f t="shared" si="62"/>
        <v>0</v>
      </c>
    </row>
    <row r="477" spans="1:14" x14ac:dyDescent="0.3">
      <c r="A477" t="s">
        <v>17</v>
      </c>
      <c r="B477" t="s">
        <v>18</v>
      </c>
      <c r="C477" t="str">
        <f t="shared" si="60"/>
        <v>400</v>
      </c>
      <c r="D477" t="str">
        <f>"610620"</f>
        <v>610620</v>
      </c>
      <c r="E477" t="s">
        <v>19</v>
      </c>
      <c r="F477" t="s">
        <v>451</v>
      </c>
      <c r="G477">
        <v>250</v>
      </c>
      <c r="H477" t="str">
        <f>""</f>
        <v/>
      </c>
      <c r="I477">
        <v>4.5</v>
      </c>
      <c r="J477">
        <v>0</v>
      </c>
      <c r="K477" t="str">
        <f t="shared" si="57"/>
        <v>31000</v>
      </c>
      <c r="L477" t="str">
        <f t="shared" si="62"/>
        <v>0</v>
      </c>
      <c r="M477" t="str">
        <f t="shared" si="62"/>
        <v>0</v>
      </c>
      <c r="N477" t="str">
        <f t="shared" si="62"/>
        <v>0</v>
      </c>
    </row>
    <row r="478" spans="1:14" x14ac:dyDescent="0.3">
      <c r="A478" t="s">
        <v>17</v>
      </c>
      <c r="B478" t="s">
        <v>18</v>
      </c>
      <c r="C478" t="str">
        <f t="shared" si="60"/>
        <v>400</v>
      </c>
      <c r="D478" t="str">
        <f>"610621"</f>
        <v>610621</v>
      </c>
      <c r="E478" t="s">
        <v>19</v>
      </c>
      <c r="F478" t="s">
        <v>452</v>
      </c>
      <c r="G478">
        <v>250</v>
      </c>
      <c r="H478" t="str">
        <f>""</f>
        <v/>
      </c>
      <c r="I478">
        <v>6.4</v>
      </c>
      <c r="J478">
        <v>0</v>
      </c>
      <c r="K478" t="str">
        <f t="shared" si="57"/>
        <v>31000</v>
      </c>
      <c r="L478" t="str">
        <f t="shared" si="62"/>
        <v>0</v>
      </c>
      <c r="M478" t="str">
        <f t="shared" si="62"/>
        <v>0</v>
      </c>
      <c r="N478" t="str">
        <f t="shared" si="62"/>
        <v>0</v>
      </c>
    </row>
    <row r="479" spans="1:14" x14ac:dyDescent="0.3">
      <c r="A479" t="s">
        <v>17</v>
      </c>
      <c r="B479" t="s">
        <v>18</v>
      </c>
      <c r="C479" t="str">
        <f t="shared" si="60"/>
        <v>400</v>
      </c>
      <c r="D479" t="str">
        <f>"610622"</f>
        <v>610622</v>
      </c>
      <c r="E479" t="s">
        <v>19</v>
      </c>
      <c r="F479" t="s">
        <v>453</v>
      </c>
      <c r="G479">
        <v>250</v>
      </c>
      <c r="H479" t="str">
        <f>""</f>
        <v/>
      </c>
      <c r="I479">
        <v>6.4</v>
      </c>
      <c r="J479">
        <v>0</v>
      </c>
      <c r="K479" t="str">
        <f t="shared" si="57"/>
        <v>31000</v>
      </c>
      <c r="L479" t="str">
        <f t="shared" si="62"/>
        <v>0</v>
      </c>
      <c r="M479" t="str">
        <f t="shared" si="62"/>
        <v>0</v>
      </c>
      <c r="N479" t="str">
        <f t="shared" si="62"/>
        <v>0</v>
      </c>
    </row>
    <row r="480" spans="1:14" x14ac:dyDescent="0.3">
      <c r="A480" t="s">
        <v>17</v>
      </c>
      <c r="B480" t="s">
        <v>18</v>
      </c>
      <c r="C480" t="str">
        <f t="shared" si="60"/>
        <v>400</v>
      </c>
      <c r="D480" t="str">
        <f>"610623"</f>
        <v>610623</v>
      </c>
      <c r="E480" t="s">
        <v>19</v>
      </c>
      <c r="F480" t="s">
        <v>454</v>
      </c>
      <c r="G480">
        <v>250</v>
      </c>
      <c r="H480" t="str">
        <f>""</f>
        <v/>
      </c>
      <c r="I480">
        <v>2.5</v>
      </c>
      <c r="J480">
        <v>0</v>
      </c>
      <c r="K480" t="str">
        <f t="shared" si="57"/>
        <v>31000</v>
      </c>
      <c r="L480" t="str">
        <f t="shared" si="62"/>
        <v>0</v>
      </c>
      <c r="M480" t="str">
        <f t="shared" si="62"/>
        <v>0</v>
      </c>
      <c r="N480" t="str">
        <f t="shared" si="62"/>
        <v>0</v>
      </c>
    </row>
    <row r="481" spans="1:14" x14ac:dyDescent="0.3">
      <c r="A481" t="s">
        <v>17</v>
      </c>
      <c r="B481" t="s">
        <v>18</v>
      </c>
      <c r="C481" t="str">
        <f t="shared" si="60"/>
        <v>400</v>
      </c>
      <c r="D481" t="str">
        <f>"610642"</f>
        <v>610642</v>
      </c>
      <c r="E481" t="s">
        <v>19</v>
      </c>
      <c r="F481" t="s">
        <v>455</v>
      </c>
      <c r="G481">
        <v>250</v>
      </c>
      <c r="H481" t="str">
        <f>""</f>
        <v/>
      </c>
      <c r="I481">
        <v>5</v>
      </c>
      <c r="J481">
        <v>0</v>
      </c>
      <c r="K481" t="str">
        <f t="shared" si="57"/>
        <v>31000</v>
      </c>
      <c r="L481" t="str">
        <f t="shared" si="62"/>
        <v>0</v>
      </c>
      <c r="M481" t="str">
        <f t="shared" si="62"/>
        <v>0</v>
      </c>
      <c r="N481" t="str">
        <f t="shared" si="62"/>
        <v>0</v>
      </c>
    </row>
    <row r="482" spans="1:14" x14ac:dyDescent="0.3">
      <c r="A482" t="s">
        <v>17</v>
      </c>
      <c r="B482" t="s">
        <v>18</v>
      </c>
      <c r="C482" t="str">
        <f t="shared" si="60"/>
        <v>400</v>
      </c>
      <c r="D482" t="str">
        <f>"610643"</f>
        <v>610643</v>
      </c>
      <c r="E482" t="s">
        <v>19</v>
      </c>
      <c r="F482" t="s">
        <v>456</v>
      </c>
      <c r="G482">
        <v>250</v>
      </c>
      <c r="H482" t="str">
        <f>""</f>
        <v/>
      </c>
      <c r="I482">
        <v>8.9499999999999993</v>
      </c>
      <c r="J482">
        <v>0</v>
      </c>
      <c r="K482" t="str">
        <f t="shared" si="57"/>
        <v>31000</v>
      </c>
      <c r="L482" t="str">
        <f t="shared" si="62"/>
        <v>0</v>
      </c>
      <c r="M482" t="str">
        <f t="shared" si="62"/>
        <v>0</v>
      </c>
      <c r="N482" t="str">
        <f t="shared" si="62"/>
        <v>0</v>
      </c>
    </row>
    <row r="483" spans="1:14" x14ac:dyDescent="0.3">
      <c r="A483" t="s">
        <v>17</v>
      </c>
      <c r="B483" t="s">
        <v>18</v>
      </c>
      <c r="C483" t="str">
        <f t="shared" si="60"/>
        <v>400</v>
      </c>
      <c r="D483" t="str">
        <f>"610650"</f>
        <v>610650</v>
      </c>
      <c r="E483" t="s">
        <v>19</v>
      </c>
      <c r="F483" t="s">
        <v>457</v>
      </c>
      <c r="G483">
        <v>250</v>
      </c>
      <c r="I483">
        <v>44.15</v>
      </c>
      <c r="J483">
        <v>0</v>
      </c>
      <c r="K483" t="str">
        <f t="shared" si="57"/>
        <v>31000</v>
      </c>
    </row>
    <row r="484" spans="1:14" x14ac:dyDescent="0.3">
      <c r="A484" t="s">
        <v>17</v>
      </c>
      <c r="B484" t="s">
        <v>18</v>
      </c>
      <c r="C484" t="str">
        <f t="shared" si="60"/>
        <v>400</v>
      </c>
      <c r="D484" t="str">
        <f>"610654"</f>
        <v>610654</v>
      </c>
      <c r="E484" t="s">
        <v>19</v>
      </c>
      <c r="F484" t="s">
        <v>458</v>
      </c>
      <c r="G484">
        <v>250</v>
      </c>
      <c r="H484" t="str">
        <f>""</f>
        <v/>
      </c>
      <c r="I484">
        <v>32.520000000000003</v>
      </c>
      <c r="J484">
        <v>0</v>
      </c>
      <c r="K484" t="str">
        <f t="shared" si="57"/>
        <v>31000</v>
      </c>
      <c r="L484" t="str">
        <f t="shared" ref="L484:N487" si="63">"0"</f>
        <v>0</v>
      </c>
      <c r="M484" t="str">
        <f t="shared" si="63"/>
        <v>0</v>
      </c>
      <c r="N484" t="str">
        <f t="shared" si="63"/>
        <v>0</v>
      </c>
    </row>
    <row r="485" spans="1:14" x14ac:dyDescent="0.3">
      <c r="A485" t="s">
        <v>17</v>
      </c>
      <c r="B485" t="s">
        <v>18</v>
      </c>
      <c r="C485" t="str">
        <f t="shared" si="60"/>
        <v>400</v>
      </c>
      <c r="D485" t="str">
        <f>"610667"</f>
        <v>610667</v>
      </c>
      <c r="E485" t="s">
        <v>19</v>
      </c>
      <c r="F485" t="s">
        <v>459</v>
      </c>
      <c r="G485">
        <v>250</v>
      </c>
      <c r="H485" t="str">
        <f>""</f>
        <v/>
      </c>
      <c r="I485">
        <v>25</v>
      </c>
      <c r="J485">
        <v>0</v>
      </c>
      <c r="K485" t="str">
        <f t="shared" si="57"/>
        <v>31000</v>
      </c>
      <c r="L485" t="str">
        <f t="shared" si="63"/>
        <v>0</v>
      </c>
      <c r="M485" t="str">
        <f t="shared" si="63"/>
        <v>0</v>
      </c>
      <c r="N485" t="str">
        <f t="shared" si="63"/>
        <v>0</v>
      </c>
    </row>
    <row r="486" spans="1:14" x14ac:dyDescent="0.3">
      <c r="A486" t="s">
        <v>17</v>
      </c>
      <c r="B486" t="s">
        <v>18</v>
      </c>
      <c r="C486" t="str">
        <f t="shared" si="60"/>
        <v>400</v>
      </c>
      <c r="D486" t="str">
        <f>"610669"</f>
        <v>610669</v>
      </c>
      <c r="E486" t="s">
        <v>19</v>
      </c>
      <c r="F486" t="s">
        <v>460</v>
      </c>
      <c r="G486">
        <v>250</v>
      </c>
      <c r="H486" t="str">
        <f>""</f>
        <v/>
      </c>
      <c r="I486">
        <v>14</v>
      </c>
      <c r="J486">
        <v>0</v>
      </c>
      <c r="K486" t="str">
        <f t="shared" si="57"/>
        <v>31000</v>
      </c>
      <c r="L486" t="str">
        <f t="shared" si="63"/>
        <v>0</v>
      </c>
      <c r="M486" t="str">
        <f t="shared" si="63"/>
        <v>0</v>
      </c>
      <c r="N486" t="str">
        <f t="shared" si="63"/>
        <v>0</v>
      </c>
    </row>
    <row r="487" spans="1:14" x14ac:dyDescent="0.3">
      <c r="A487" t="s">
        <v>17</v>
      </c>
      <c r="B487" t="s">
        <v>18</v>
      </c>
      <c r="C487" t="str">
        <f t="shared" si="60"/>
        <v>400</v>
      </c>
      <c r="D487" t="str">
        <f>"610670"</f>
        <v>610670</v>
      </c>
      <c r="E487" t="s">
        <v>19</v>
      </c>
      <c r="F487" t="s">
        <v>461</v>
      </c>
      <c r="G487">
        <v>250</v>
      </c>
      <c r="H487" t="str">
        <f>""</f>
        <v/>
      </c>
      <c r="I487">
        <v>7.25</v>
      </c>
      <c r="J487">
        <v>0</v>
      </c>
      <c r="K487" t="str">
        <f t="shared" si="57"/>
        <v>31000</v>
      </c>
      <c r="L487" t="str">
        <f t="shared" si="63"/>
        <v>0</v>
      </c>
      <c r="M487" t="str">
        <f t="shared" si="63"/>
        <v>0</v>
      </c>
      <c r="N487" t="str">
        <f t="shared" si="63"/>
        <v>0</v>
      </c>
    </row>
    <row r="488" spans="1:14" x14ac:dyDescent="0.3">
      <c r="A488" t="s">
        <v>17</v>
      </c>
      <c r="B488" t="s">
        <v>18</v>
      </c>
      <c r="C488" t="str">
        <f t="shared" si="60"/>
        <v>400</v>
      </c>
      <c r="D488" t="str">
        <f>"610679"</f>
        <v>610679</v>
      </c>
      <c r="E488" t="s">
        <v>19</v>
      </c>
      <c r="F488" t="s">
        <v>462</v>
      </c>
      <c r="G488">
        <v>250</v>
      </c>
      <c r="I488">
        <v>7.25</v>
      </c>
      <c r="J488">
        <v>0</v>
      </c>
      <c r="K488" t="str">
        <f t="shared" si="57"/>
        <v>31000</v>
      </c>
    </row>
    <row r="489" spans="1:14" x14ac:dyDescent="0.3">
      <c r="A489" t="s">
        <v>17</v>
      </c>
      <c r="B489" t="s">
        <v>18</v>
      </c>
      <c r="C489" t="str">
        <f t="shared" si="60"/>
        <v>400</v>
      </c>
      <c r="D489" t="str">
        <f>"610687"</f>
        <v>610687</v>
      </c>
      <c r="E489" t="s">
        <v>19</v>
      </c>
      <c r="F489" t="s">
        <v>463</v>
      </c>
      <c r="G489">
        <v>250</v>
      </c>
      <c r="H489" t="str">
        <f>""</f>
        <v/>
      </c>
      <c r="I489">
        <v>7.96</v>
      </c>
      <c r="J489">
        <v>0</v>
      </c>
      <c r="K489" t="str">
        <f t="shared" si="57"/>
        <v>31000</v>
      </c>
      <c r="L489" t="str">
        <f t="shared" ref="L489:N490" si="64">"0"</f>
        <v>0</v>
      </c>
      <c r="M489" t="str">
        <f t="shared" si="64"/>
        <v>0</v>
      </c>
      <c r="N489" t="str">
        <f t="shared" si="64"/>
        <v>0</v>
      </c>
    </row>
    <row r="490" spans="1:14" x14ac:dyDescent="0.3">
      <c r="A490" t="s">
        <v>17</v>
      </c>
      <c r="B490" t="s">
        <v>18</v>
      </c>
      <c r="C490" t="str">
        <f t="shared" si="60"/>
        <v>400</v>
      </c>
      <c r="D490" t="str">
        <f>"610690"</f>
        <v>610690</v>
      </c>
      <c r="E490" t="s">
        <v>19</v>
      </c>
      <c r="F490" t="s">
        <v>464</v>
      </c>
      <c r="G490">
        <v>250</v>
      </c>
      <c r="H490" t="str">
        <f>""</f>
        <v/>
      </c>
      <c r="I490">
        <v>2.5</v>
      </c>
      <c r="J490">
        <v>0</v>
      </c>
      <c r="K490" t="str">
        <f t="shared" si="57"/>
        <v>31000</v>
      </c>
      <c r="L490" t="str">
        <f t="shared" si="64"/>
        <v>0</v>
      </c>
      <c r="M490" t="str">
        <f t="shared" si="64"/>
        <v>0</v>
      </c>
      <c r="N490" t="str">
        <f t="shared" si="64"/>
        <v>0</v>
      </c>
    </row>
    <row r="491" spans="1:14" x14ac:dyDescent="0.3">
      <c r="A491" t="s">
        <v>17</v>
      </c>
      <c r="B491" t="s">
        <v>18</v>
      </c>
      <c r="C491" t="str">
        <f t="shared" si="60"/>
        <v>400</v>
      </c>
      <c r="D491" t="str">
        <f>"610692"</f>
        <v>610692</v>
      </c>
      <c r="E491" t="s">
        <v>19</v>
      </c>
      <c r="F491" t="s">
        <v>465</v>
      </c>
      <c r="G491">
        <v>250</v>
      </c>
      <c r="I491">
        <v>1.5</v>
      </c>
      <c r="J491">
        <v>0</v>
      </c>
      <c r="K491" t="str">
        <f t="shared" ref="K491:K554" si="65">"31000"</f>
        <v>31000</v>
      </c>
    </row>
    <row r="492" spans="1:14" x14ac:dyDescent="0.3">
      <c r="A492" t="s">
        <v>17</v>
      </c>
      <c r="B492" t="s">
        <v>18</v>
      </c>
      <c r="C492" t="str">
        <f t="shared" si="60"/>
        <v>400</v>
      </c>
      <c r="D492" t="str">
        <f>"610712"</f>
        <v>610712</v>
      </c>
      <c r="E492" t="s">
        <v>19</v>
      </c>
      <c r="F492" t="s">
        <v>466</v>
      </c>
      <c r="G492">
        <v>250</v>
      </c>
      <c r="I492">
        <v>27.06</v>
      </c>
      <c r="J492">
        <v>0</v>
      </c>
      <c r="K492" t="str">
        <f t="shared" si="65"/>
        <v>31000</v>
      </c>
    </row>
    <row r="493" spans="1:14" x14ac:dyDescent="0.3">
      <c r="A493" t="s">
        <v>17</v>
      </c>
      <c r="B493" t="s">
        <v>18</v>
      </c>
      <c r="C493" t="str">
        <f t="shared" si="60"/>
        <v>400</v>
      </c>
      <c r="D493" t="str">
        <f>"610745"</f>
        <v>610745</v>
      </c>
      <c r="E493" t="s">
        <v>19</v>
      </c>
      <c r="F493" t="s">
        <v>467</v>
      </c>
      <c r="G493">
        <v>250</v>
      </c>
      <c r="H493" t="str">
        <f>""</f>
        <v/>
      </c>
      <c r="I493">
        <v>29.3</v>
      </c>
      <c r="J493">
        <v>0</v>
      </c>
      <c r="K493" t="str">
        <f t="shared" si="65"/>
        <v>31000</v>
      </c>
      <c r="L493" t="str">
        <f t="shared" ref="L493:N505" si="66">"0"</f>
        <v>0</v>
      </c>
      <c r="M493" t="str">
        <f t="shared" si="66"/>
        <v>0</v>
      </c>
      <c r="N493" t="str">
        <f t="shared" si="66"/>
        <v>0</v>
      </c>
    </row>
    <row r="494" spans="1:14" x14ac:dyDescent="0.3">
      <c r="A494" t="s">
        <v>17</v>
      </c>
      <c r="B494" t="s">
        <v>18</v>
      </c>
      <c r="C494" t="str">
        <f t="shared" si="60"/>
        <v>400</v>
      </c>
      <c r="D494" t="str">
        <f>"610746"</f>
        <v>610746</v>
      </c>
      <c r="E494" t="s">
        <v>19</v>
      </c>
      <c r="F494" t="s">
        <v>468</v>
      </c>
      <c r="G494">
        <v>250</v>
      </c>
      <c r="H494" t="str">
        <f>""</f>
        <v/>
      </c>
      <c r="I494">
        <v>29.95</v>
      </c>
      <c r="J494">
        <v>0</v>
      </c>
      <c r="K494" t="str">
        <f t="shared" si="65"/>
        <v>31000</v>
      </c>
      <c r="L494" t="str">
        <f t="shared" si="66"/>
        <v>0</v>
      </c>
      <c r="M494" t="str">
        <f t="shared" si="66"/>
        <v>0</v>
      </c>
      <c r="N494" t="str">
        <f t="shared" si="66"/>
        <v>0</v>
      </c>
    </row>
    <row r="495" spans="1:14" x14ac:dyDescent="0.3">
      <c r="A495" t="s">
        <v>17</v>
      </c>
      <c r="B495" t="s">
        <v>18</v>
      </c>
      <c r="C495" t="str">
        <f t="shared" si="60"/>
        <v>400</v>
      </c>
      <c r="D495" t="str">
        <f>"610756"</f>
        <v>610756</v>
      </c>
      <c r="E495" t="s">
        <v>19</v>
      </c>
      <c r="F495" t="s">
        <v>469</v>
      </c>
      <c r="G495">
        <v>250</v>
      </c>
      <c r="H495" t="str">
        <f>""</f>
        <v/>
      </c>
      <c r="I495">
        <v>23.1</v>
      </c>
      <c r="J495">
        <v>0</v>
      </c>
      <c r="K495" t="str">
        <f t="shared" si="65"/>
        <v>31000</v>
      </c>
      <c r="L495" t="str">
        <f t="shared" si="66"/>
        <v>0</v>
      </c>
      <c r="M495" t="str">
        <f t="shared" si="66"/>
        <v>0</v>
      </c>
      <c r="N495" t="str">
        <f t="shared" si="66"/>
        <v>0</v>
      </c>
    </row>
    <row r="496" spans="1:14" x14ac:dyDescent="0.3">
      <c r="A496" t="s">
        <v>17</v>
      </c>
      <c r="B496" t="s">
        <v>18</v>
      </c>
      <c r="C496" t="str">
        <f t="shared" si="60"/>
        <v>400</v>
      </c>
      <c r="D496" t="str">
        <f>"610757"</f>
        <v>610757</v>
      </c>
      <c r="E496" t="s">
        <v>19</v>
      </c>
      <c r="F496" t="s">
        <v>470</v>
      </c>
      <c r="G496">
        <v>250</v>
      </c>
      <c r="H496" t="str">
        <f>""</f>
        <v/>
      </c>
      <c r="I496">
        <v>8.9499999999999993</v>
      </c>
      <c r="J496">
        <v>0</v>
      </c>
      <c r="K496" t="str">
        <f t="shared" si="65"/>
        <v>31000</v>
      </c>
      <c r="L496" t="str">
        <f t="shared" si="66"/>
        <v>0</v>
      </c>
      <c r="M496" t="str">
        <f t="shared" si="66"/>
        <v>0</v>
      </c>
      <c r="N496" t="str">
        <f t="shared" si="66"/>
        <v>0</v>
      </c>
    </row>
    <row r="497" spans="1:14" x14ac:dyDescent="0.3">
      <c r="A497" t="s">
        <v>17</v>
      </c>
      <c r="B497" t="s">
        <v>18</v>
      </c>
      <c r="C497" t="str">
        <f t="shared" si="60"/>
        <v>400</v>
      </c>
      <c r="D497" t="str">
        <f>"610758"</f>
        <v>610758</v>
      </c>
      <c r="E497" t="s">
        <v>19</v>
      </c>
      <c r="F497" t="s">
        <v>471</v>
      </c>
      <c r="G497">
        <v>250</v>
      </c>
      <c r="H497" t="str">
        <f>""</f>
        <v/>
      </c>
      <c r="I497">
        <v>19.5</v>
      </c>
      <c r="J497">
        <v>0</v>
      </c>
      <c r="K497" t="str">
        <f t="shared" si="65"/>
        <v>31000</v>
      </c>
      <c r="L497" t="str">
        <f t="shared" si="66"/>
        <v>0</v>
      </c>
      <c r="M497" t="str">
        <f t="shared" si="66"/>
        <v>0</v>
      </c>
      <c r="N497" t="str">
        <f t="shared" si="66"/>
        <v>0</v>
      </c>
    </row>
    <row r="498" spans="1:14" x14ac:dyDescent="0.3">
      <c r="A498" t="s">
        <v>17</v>
      </c>
      <c r="B498" t="s">
        <v>18</v>
      </c>
      <c r="C498" t="str">
        <f t="shared" si="60"/>
        <v>400</v>
      </c>
      <c r="D498" t="str">
        <f>"610759"</f>
        <v>610759</v>
      </c>
      <c r="E498" t="s">
        <v>19</v>
      </c>
      <c r="F498" t="s">
        <v>472</v>
      </c>
      <c r="G498">
        <v>250</v>
      </c>
      <c r="H498" t="str">
        <f>""</f>
        <v/>
      </c>
      <c r="I498">
        <v>10.94</v>
      </c>
      <c r="J498">
        <v>0</v>
      </c>
      <c r="K498" t="str">
        <f t="shared" si="65"/>
        <v>31000</v>
      </c>
      <c r="L498" t="str">
        <f t="shared" si="66"/>
        <v>0</v>
      </c>
      <c r="M498" t="str">
        <f t="shared" si="66"/>
        <v>0</v>
      </c>
      <c r="N498" t="str">
        <f t="shared" si="66"/>
        <v>0</v>
      </c>
    </row>
    <row r="499" spans="1:14" x14ac:dyDescent="0.3">
      <c r="A499" t="s">
        <v>17</v>
      </c>
      <c r="B499" t="s">
        <v>18</v>
      </c>
      <c r="C499" t="str">
        <f t="shared" si="60"/>
        <v>400</v>
      </c>
      <c r="D499" t="str">
        <f>"610800"</f>
        <v>610800</v>
      </c>
      <c r="E499" t="s">
        <v>19</v>
      </c>
      <c r="F499" t="s">
        <v>473</v>
      </c>
      <c r="G499">
        <v>250</v>
      </c>
      <c r="H499" t="str">
        <f>""</f>
        <v/>
      </c>
      <c r="I499">
        <v>3.45</v>
      </c>
      <c r="J499">
        <v>0</v>
      </c>
      <c r="K499" t="str">
        <f t="shared" si="65"/>
        <v>31000</v>
      </c>
      <c r="L499" t="str">
        <f t="shared" si="66"/>
        <v>0</v>
      </c>
      <c r="M499" t="str">
        <f t="shared" si="66"/>
        <v>0</v>
      </c>
      <c r="N499" t="str">
        <f t="shared" si="66"/>
        <v>0</v>
      </c>
    </row>
    <row r="500" spans="1:14" x14ac:dyDescent="0.3">
      <c r="A500" t="s">
        <v>17</v>
      </c>
      <c r="B500" t="s">
        <v>18</v>
      </c>
      <c r="C500" t="str">
        <f t="shared" si="60"/>
        <v>400</v>
      </c>
      <c r="D500" t="str">
        <f>"610801"</f>
        <v>610801</v>
      </c>
      <c r="E500" t="s">
        <v>19</v>
      </c>
      <c r="F500" t="s">
        <v>474</v>
      </c>
      <c r="G500">
        <v>250</v>
      </c>
      <c r="H500" t="str">
        <f>""</f>
        <v/>
      </c>
      <c r="I500">
        <v>12.75</v>
      </c>
      <c r="J500">
        <v>0</v>
      </c>
      <c r="K500" t="str">
        <f t="shared" si="65"/>
        <v>31000</v>
      </c>
      <c r="L500" t="str">
        <f t="shared" si="66"/>
        <v>0</v>
      </c>
      <c r="M500" t="str">
        <f t="shared" si="66"/>
        <v>0</v>
      </c>
      <c r="N500" t="str">
        <f t="shared" si="66"/>
        <v>0</v>
      </c>
    </row>
    <row r="501" spans="1:14" x14ac:dyDescent="0.3">
      <c r="A501" t="s">
        <v>17</v>
      </c>
      <c r="B501" t="s">
        <v>18</v>
      </c>
      <c r="C501" t="str">
        <f t="shared" si="60"/>
        <v>400</v>
      </c>
      <c r="D501" t="str">
        <f>"610803"</f>
        <v>610803</v>
      </c>
      <c r="E501" t="s">
        <v>19</v>
      </c>
      <c r="F501" t="s">
        <v>475</v>
      </c>
      <c r="G501">
        <v>250</v>
      </c>
      <c r="H501" t="str">
        <f>""</f>
        <v/>
      </c>
      <c r="I501">
        <v>5.5</v>
      </c>
      <c r="J501">
        <v>0</v>
      </c>
      <c r="K501" t="str">
        <f t="shared" si="65"/>
        <v>31000</v>
      </c>
      <c r="L501" t="str">
        <f t="shared" si="66"/>
        <v>0</v>
      </c>
      <c r="M501" t="str">
        <f t="shared" si="66"/>
        <v>0</v>
      </c>
      <c r="N501" t="str">
        <f t="shared" si="66"/>
        <v>0</v>
      </c>
    </row>
    <row r="502" spans="1:14" x14ac:dyDescent="0.3">
      <c r="A502" t="s">
        <v>17</v>
      </c>
      <c r="B502" t="s">
        <v>18</v>
      </c>
      <c r="C502" t="str">
        <f t="shared" si="60"/>
        <v>400</v>
      </c>
      <c r="D502" t="str">
        <f>"610804"</f>
        <v>610804</v>
      </c>
      <c r="E502" t="s">
        <v>19</v>
      </c>
      <c r="F502" t="s">
        <v>476</v>
      </c>
      <c r="G502">
        <v>250</v>
      </c>
      <c r="H502" t="str">
        <f>""</f>
        <v/>
      </c>
      <c r="I502">
        <v>4.5</v>
      </c>
      <c r="J502">
        <v>0</v>
      </c>
      <c r="K502" t="str">
        <f t="shared" si="65"/>
        <v>31000</v>
      </c>
      <c r="L502" t="str">
        <f t="shared" si="66"/>
        <v>0</v>
      </c>
      <c r="M502" t="str">
        <f t="shared" si="66"/>
        <v>0</v>
      </c>
      <c r="N502" t="str">
        <f t="shared" si="66"/>
        <v>0</v>
      </c>
    </row>
    <row r="503" spans="1:14" x14ac:dyDescent="0.3">
      <c r="A503" t="s">
        <v>17</v>
      </c>
      <c r="B503" t="s">
        <v>18</v>
      </c>
      <c r="C503" t="str">
        <f t="shared" si="60"/>
        <v>400</v>
      </c>
      <c r="D503" t="str">
        <f>"610809"</f>
        <v>610809</v>
      </c>
      <c r="E503" t="s">
        <v>19</v>
      </c>
      <c r="F503" t="s">
        <v>477</v>
      </c>
      <c r="G503">
        <v>250</v>
      </c>
      <c r="H503" t="str">
        <f>""</f>
        <v/>
      </c>
      <c r="I503">
        <v>15</v>
      </c>
      <c r="J503">
        <v>0</v>
      </c>
      <c r="K503" t="str">
        <f t="shared" si="65"/>
        <v>31000</v>
      </c>
      <c r="L503" t="str">
        <f t="shared" si="66"/>
        <v>0</v>
      </c>
      <c r="M503" t="str">
        <f t="shared" si="66"/>
        <v>0</v>
      </c>
      <c r="N503" t="str">
        <f t="shared" si="66"/>
        <v>0</v>
      </c>
    </row>
    <row r="504" spans="1:14" x14ac:dyDescent="0.3">
      <c r="A504" t="s">
        <v>17</v>
      </c>
      <c r="B504" t="s">
        <v>18</v>
      </c>
      <c r="C504" t="str">
        <f t="shared" si="60"/>
        <v>400</v>
      </c>
      <c r="D504" t="str">
        <f>"610812"</f>
        <v>610812</v>
      </c>
      <c r="E504" t="s">
        <v>19</v>
      </c>
      <c r="F504" t="s">
        <v>478</v>
      </c>
      <c r="G504">
        <v>250</v>
      </c>
      <c r="H504" t="str">
        <f>""</f>
        <v/>
      </c>
      <c r="I504">
        <v>8.9499999999999993</v>
      </c>
      <c r="J504">
        <v>0</v>
      </c>
      <c r="K504" t="str">
        <f t="shared" si="65"/>
        <v>31000</v>
      </c>
      <c r="L504" t="str">
        <f t="shared" si="66"/>
        <v>0</v>
      </c>
      <c r="M504" t="str">
        <f t="shared" si="66"/>
        <v>0</v>
      </c>
      <c r="N504" t="str">
        <f t="shared" si="66"/>
        <v>0</v>
      </c>
    </row>
    <row r="505" spans="1:14" x14ac:dyDescent="0.3">
      <c r="A505" t="s">
        <v>17</v>
      </c>
      <c r="B505" t="s">
        <v>18</v>
      </c>
      <c r="C505" t="str">
        <f t="shared" si="60"/>
        <v>400</v>
      </c>
      <c r="D505" t="str">
        <f>"610815"</f>
        <v>610815</v>
      </c>
      <c r="E505" t="s">
        <v>19</v>
      </c>
      <c r="F505" t="s">
        <v>479</v>
      </c>
      <c r="G505">
        <v>250</v>
      </c>
      <c r="H505" t="str">
        <f>""</f>
        <v/>
      </c>
      <c r="I505">
        <v>12.75</v>
      </c>
      <c r="J505">
        <v>0</v>
      </c>
      <c r="K505" t="str">
        <f t="shared" si="65"/>
        <v>31000</v>
      </c>
      <c r="L505" t="str">
        <f t="shared" si="66"/>
        <v>0</v>
      </c>
      <c r="M505" t="str">
        <f t="shared" si="66"/>
        <v>0</v>
      </c>
      <c r="N505" t="str">
        <f t="shared" si="66"/>
        <v>0</v>
      </c>
    </row>
    <row r="506" spans="1:14" x14ac:dyDescent="0.3">
      <c r="A506" t="s">
        <v>17</v>
      </c>
      <c r="B506" t="s">
        <v>18</v>
      </c>
      <c r="C506" t="str">
        <f t="shared" si="60"/>
        <v>400</v>
      </c>
      <c r="D506" t="str">
        <f>"610818"</f>
        <v>610818</v>
      </c>
      <c r="E506" t="s">
        <v>19</v>
      </c>
      <c r="F506" t="s">
        <v>480</v>
      </c>
      <c r="G506">
        <v>250</v>
      </c>
      <c r="I506">
        <v>5</v>
      </c>
      <c r="J506">
        <v>0</v>
      </c>
      <c r="K506" t="str">
        <f t="shared" si="65"/>
        <v>31000</v>
      </c>
    </row>
    <row r="507" spans="1:14" x14ac:dyDescent="0.3">
      <c r="A507" t="s">
        <v>17</v>
      </c>
      <c r="B507" t="s">
        <v>18</v>
      </c>
      <c r="C507" t="str">
        <f t="shared" si="60"/>
        <v>400</v>
      </c>
      <c r="D507" t="str">
        <f>"610825"</f>
        <v>610825</v>
      </c>
      <c r="E507" t="s">
        <v>19</v>
      </c>
      <c r="F507" t="s">
        <v>481</v>
      </c>
      <c r="G507">
        <v>250</v>
      </c>
      <c r="H507" t="str">
        <f>""</f>
        <v/>
      </c>
      <c r="I507">
        <v>11.15</v>
      </c>
      <c r="J507">
        <v>0</v>
      </c>
      <c r="K507" t="str">
        <f t="shared" si="65"/>
        <v>31000</v>
      </c>
      <c r="L507" t="str">
        <f t="shared" ref="L507:N517" si="67">"0"</f>
        <v>0</v>
      </c>
      <c r="M507" t="str">
        <f t="shared" si="67"/>
        <v>0</v>
      </c>
      <c r="N507" t="str">
        <f t="shared" si="67"/>
        <v>0</v>
      </c>
    </row>
    <row r="508" spans="1:14" x14ac:dyDescent="0.3">
      <c r="A508" t="s">
        <v>17</v>
      </c>
      <c r="B508" t="s">
        <v>18</v>
      </c>
      <c r="C508" t="str">
        <f t="shared" si="60"/>
        <v>400</v>
      </c>
      <c r="D508" t="str">
        <f>"610826"</f>
        <v>610826</v>
      </c>
      <c r="E508" t="s">
        <v>19</v>
      </c>
      <c r="F508" t="s">
        <v>482</v>
      </c>
      <c r="G508">
        <v>250</v>
      </c>
      <c r="H508" t="str">
        <f>""</f>
        <v/>
      </c>
      <c r="I508">
        <v>11.5</v>
      </c>
      <c r="J508">
        <v>0</v>
      </c>
      <c r="K508" t="str">
        <f t="shared" si="65"/>
        <v>31000</v>
      </c>
      <c r="L508" t="str">
        <f t="shared" si="67"/>
        <v>0</v>
      </c>
      <c r="M508" t="str">
        <f t="shared" si="67"/>
        <v>0</v>
      </c>
      <c r="N508" t="str">
        <f t="shared" si="67"/>
        <v>0</v>
      </c>
    </row>
    <row r="509" spans="1:14" x14ac:dyDescent="0.3">
      <c r="A509" t="s">
        <v>17</v>
      </c>
      <c r="B509" t="s">
        <v>18</v>
      </c>
      <c r="C509" t="str">
        <f t="shared" si="60"/>
        <v>400</v>
      </c>
      <c r="D509" t="str">
        <f>"610830"</f>
        <v>610830</v>
      </c>
      <c r="E509" t="s">
        <v>19</v>
      </c>
      <c r="F509" t="s">
        <v>483</v>
      </c>
      <c r="G509">
        <v>250</v>
      </c>
      <c r="H509" t="str">
        <f>""</f>
        <v/>
      </c>
      <c r="I509">
        <v>4.5</v>
      </c>
      <c r="J509">
        <v>0</v>
      </c>
      <c r="K509" t="str">
        <f t="shared" si="65"/>
        <v>31000</v>
      </c>
      <c r="L509" t="str">
        <f t="shared" si="67"/>
        <v>0</v>
      </c>
      <c r="M509" t="str">
        <f t="shared" si="67"/>
        <v>0</v>
      </c>
      <c r="N509" t="str">
        <f t="shared" si="67"/>
        <v>0</v>
      </c>
    </row>
    <row r="510" spans="1:14" x14ac:dyDescent="0.3">
      <c r="A510" t="s">
        <v>17</v>
      </c>
      <c r="B510" t="s">
        <v>18</v>
      </c>
      <c r="C510" t="str">
        <f t="shared" si="60"/>
        <v>400</v>
      </c>
      <c r="D510" t="str">
        <f>"610832"</f>
        <v>610832</v>
      </c>
      <c r="E510" t="s">
        <v>19</v>
      </c>
      <c r="F510" t="s">
        <v>484</v>
      </c>
      <c r="G510">
        <v>250</v>
      </c>
      <c r="H510" t="str">
        <f>""</f>
        <v/>
      </c>
      <c r="I510">
        <v>4.5</v>
      </c>
      <c r="J510">
        <v>0</v>
      </c>
      <c r="K510" t="str">
        <f t="shared" si="65"/>
        <v>31000</v>
      </c>
      <c r="L510" t="str">
        <f t="shared" si="67"/>
        <v>0</v>
      </c>
      <c r="M510" t="str">
        <f t="shared" si="67"/>
        <v>0</v>
      </c>
      <c r="N510" t="str">
        <f t="shared" si="67"/>
        <v>0</v>
      </c>
    </row>
    <row r="511" spans="1:14" x14ac:dyDescent="0.3">
      <c r="A511" t="s">
        <v>17</v>
      </c>
      <c r="B511" t="s">
        <v>18</v>
      </c>
      <c r="C511" t="str">
        <f t="shared" si="60"/>
        <v>400</v>
      </c>
      <c r="D511" t="str">
        <f>"610833"</f>
        <v>610833</v>
      </c>
      <c r="E511" t="s">
        <v>19</v>
      </c>
      <c r="F511" t="s">
        <v>485</v>
      </c>
      <c r="G511">
        <v>250</v>
      </c>
      <c r="H511" t="str">
        <f>""</f>
        <v/>
      </c>
      <c r="I511">
        <v>4.5</v>
      </c>
      <c r="J511">
        <v>0</v>
      </c>
      <c r="K511" t="str">
        <f t="shared" si="65"/>
        <v>31000</v>
      </c>
      <c r="L511" t="str">
        <f t="shared" si="67"/>
        <v>0</v>
      </c>
      <c r="M511" t="str">
        <f t="shared" si="67"/>
        <v>0</v>
      </c>
      <c r="N511" t="str">
        <f t="shared" si="67"/>
        <v>0</v>
      </c>
    </row>
    <row r="512" spans="1:14" x14ac:dyDescent="0.3">
      <c r="A512" t="s">
        <v>17</v>
      </c>
      <c r="B512" t="s">
        <v>18</v>
      </c>
      <c r="C512" t="str">
        <f t="shared" si="60"/>
        <v>400</v>
      </c>
      <c r="D512" t="str">
        <f>"610835"</f>
        <v>610835</v>
      </c>
      <c r="E512" t="s">
        <v>19</v>
      </c>
      <c r="F512" t="s">
        <v>486</v>
      </c>
      <c r="G512">
        <v>250</v>
      </c>
      <c r="H512" t="str">
        <f>""</f>
        <v/>
      </c>
      <c r="I512">
        <v>4.5</v>
      </c>
      <c r="J512">
        <v>0</v>
      </c>
      <c r="K512" t="str">
        <f t="shared" si="65"/>
        <v>31000</v>
      </c>
      <c r="L512" t="str">
        <f t="shared" si="67"/>
        <v>0</v>
      </c>
      <c r="M512" t="str">
        <f t="shared" si="67"/>
        <v>0</v>
      </c>
      <c r="N512" t="str">
        <f t="shared" si="67"/>
        <v>0</v>
      </c>
    </row>
    <row r="513" spans="1:14" x14ac:dyDescent="0.3">
      <c r="A513" t="s">
        <v>17</v>
      </c>
      <c r="B513" t="s">
        <v>18</v>
      </c>
      <c r="C513" t="str">
        <f t="shared" si="60"/>
        <v>400</v>
      </c>
      <c r="D513" t="str">
        <f>"610836"</f>
        <v>610836</v>
      </c>
      <c r="E513" t="s">
        <v>19</v>
      </c>
      <c r="F513" t="s">
        <v>487</v>
      </c>
      <c r="G513">
        <v>250</v>
      </c>
      <c r="H513" t="str">
        <f>""</f>
        <v/>
      </c>
      <c r="I513">
        <v>4.5</v>
      </c>
      <c r="J513">
        <v>0</v>
      </c>
      <c r="K513" t="str">
        <f t="shared" si="65"/>
        <v>31000</v>
      </c>
      <c r="L513" t="str">
        <f t="shared" si="67"/>
        <v>0</v>
      </c>
      <c r="M513" t="str">
        <f t="shared" si="67"/>
        <v>0</v>
      </c>
      <c r="N513" t="str">
        <f t="shared" si="67"/>
        <v>0</v>
      </c>
    </row>
    <row r="514" spans="1:14" x14ac:dyDescent="0.3">
      <c r="A514" t="s">
        <v>17</v>
      </c>
      <c r="B514" t="s">
        <v>18</v>
      </c>
      <c r="C514" t="str">
        <f t="shared" ref="C514:C577" si="68">"400"</f>
        <v>400</v>
      </c>
      <c r="D514" t="str">
        <f>"610838"</f>
        <v>610838</v>
      </c>
      <c r="E514" t="s">
        <v>19</v>
      </c>
      <c r="F514" t="s">
        <v>488</v>
      </c>
      <c r="G514">
        <v>250</v>
      </c>
      <c r="H514" t="str">
        <f>""</f>
        <v/>
      </c>
      <c r="I514">
        <v>108.5</v>
      </c>
      <c r="J514">
        <v>0</v>
      </c>
      <c r="K514" t="str">
        <f t="shared" si="65"/>
        <v>31000</v>
      </c>
      <c r="L514" t="str">
        <f t="shared" si="67"/>
        <v>0</v>
      </c>
      <c r="M514" t="str">
        <f t="shared" si="67"/>
        <v>0</v>
      </c>
      <c r="N514" t="str">
        <f t="shared" si="67"/>
        <v>0</v>
      </c>
    </row>
    <row r="515" spans="1:14" x14ac:dyDescent="0.3">
      <c r="A515" t="s">
        <v>17</v>
      </c>
      <c r="B515" t="s">
        <v>18</v>
      </c>
      <c r="C515" t="str">
        <f t="shared" si="68"/>
        <v>400</v>
      </c>
      <c r="D515" t="str">
        <f>"610843"</f>
        <v>610843</v>
      </c>
      <c r="E515" t="s">
        <v>19</v>
      </c>
      <c r="F515" t="s">
        <v>489</v>
      </c>
      <c r="G515">
        <v>250</v>
      </c>
      <c r="H515" t="str">
        <f>""</f>
        <v/>
      </c>
      <c r="I515">
        <v>18.95</v>
      </c>
      <c r="J515">
        <v>0</v>
      </c>
      <c r="K515" t="str">
        <f t="shared" si="65"/>
        <v>31000</v>
      </c>
      <c r="L515" t="str">
        <f t="shared" si="67"/>
        <v>0</v>
      </c>
      <c r="M515" t="str">
        <f t="shared" si="67"/>
        <v>0</v>
      </c>
      <c r="N515" t="str">
        <f t="shared" si="67"/>
        <v>0</v>
      </c>
    </row>
    <row r="516" spans="1:14" x14ac:dyDescent="0.3">
      <c r="A516" t="s">
        <v>17</v>
      </c>
      <c r="B516" t="s">
        <v>18</v>
      </c>
      <c r="C516" t="str">
        <f t="shared" si="68"/>
        <v>400</v>
      </c>
      <c r="D516" t="str">
        <f>"610844"</f>
        <v>610844</v>
      </c>
      <c r="E516" t="s">
        <v>19</v>
      </c>
      <c r="F516" t="s">
        <v>490</v>
      </c>
      <c r="G516">
        <v>250</v>
      </c>
      <c r="H516" t="str">
        <f>""</f>
        <v/>
      </c>
      <c r="I516">
        <v>4.5</v>
      </c>
      <c r="J516">
        <v>0</v>
      </c>
      <c r="K516" t="str">
        <f t="shared" si="65"/>
        <v>31000</v>
      </c>
      <c r="L516" t="str">
        <f t="shared" si="67"/>
        <v>0</v>
      </c>
      <c r="M516" t="str">
        <f t="shared" si="67"/>
        <v>0</v>
      </c>
      <c r="N516" t="str">
        <f t="shared" si="67"/>
        <v>0</v>
      </c>
    </row>
    <row r="517" spans="1:14" x14ac:dyDescent="0.3">
      <c r="A517" t="s">
        <v>17</v>
      </c>
      <c r="B517" t="s">
        <v>18</v>
      </c>
      <c r="C517" t="str">
        <f t="shared" si="68"/>
        <v>400</v>
      </c>
      <c r="D517" t="str">
        <f>"610860"</f>
        <v>610860</v>
      </c>
      <c r="E517" t="s">
        <v>19</v>
      </c>
      <c r="F517" t="s">
        <v>491</v>
      </c>
      <c r="G517">
        <v>250</v>
      </c>
      <c r="H517" t="str">
        <f>""</f>
        <v/>
      </c>
      <c r="I517">
        <v>12.75</v>
      </c>
      <c r="J517">
        <v>0</v>
      </c>
      <c r="K517" t="str">
        <f t="shared" si="65"/>
        <v>31000</v>
      </c>
      <c r="L517" t="str">
        <f t="shared" si="67"/>
        <v>0</v>
      </c>
      <c r="M517" t="str">
        <f t="shared" si="67"/>
        <v>0</v>
      </c>
      <c r="N517" t="str">
        <f t="shared" si="67"/>
        <v>0</v>
      </c>
    </row>
    <row r="518" spans="1:14" x14ac:dyDescent="0.3">
      <c r="A518" t="s">
        <v>17</v>
      </c>
      <c r="B518" t="s">
        <v>18</v>
      </c>
      <c r="C518" t="str">
        <f t="shared" si="68"/>
        <v>400</v>
      </c>
      <c r="D518" t="str">
        <f>"610862"</f>
        <v>610862</v>
      </c>
      <c r="E518" t="s">
        <v>19</v>
      </c>
      <c r="F518" t="s">
        <v>492</v>
      </c>
      <c r="G518">
        <v>250</v>
      </c>
      <c r="I518">
        <v>90.45</v>
      </c>
      <c r="J518">
        <v>0</v>
      </c>
      <c r="K518" t="str">
        <f t="shared" si="65"/>
        <v>31000</v>
      </c>
    </row>
    <row r="519" spans="1:14" x14ac:dyDescent="0.3">
      <c r="A519" t="s">
        <v>17</v>
      </c>
      <c r="B519" t="s">
        <v>18</v>
      </c>
      <c r="C519" t="str">
        <f t="shared" si="68"/>
        <v>400</v>
      </c>
      <c r="D519" t="str">
        <f>"610864"</f>
        <v>610864</v>
      </c>
      <c r="E519" t="s">
        <v>19</v>
      </c>
      <c r="F519" t="s">
        <v>493</v>
      </c>
      <c r="G519">
        <v>250</v>
      </c>
      <c r="H519" t="str">
        <f>""</f>
        <v/>
      </c>
      <c r="I519">
        <v>191.4</v>
      </c>
      <c r="J519">
        <v>0</v>
      </c>
      <c r="K519" t="str">
        <f t="shared" si="65"/>
        <v>31000</v>
      </c>
      <c r="L519" t="str">
        <f t="shared" ref="L519:N523" si="69">"0"</f>
        <v>0</v>
      </c>
      <c r="M519" t="str">
        <f t="shared" si="69"/>
        <v>0</v>
      </c>
      <c r="N519" t="str">
        <f t="shared" si="69"/>
        <v>0</v>
      </c>
    </row>
    <row r="520" spans="1:14" x14ac:dyDescent="0.3">
      <c r="A520" t="s">
        <v>17</v>
      </c>
      <c r="B520" t="s">
        <v>18</v>
      </c>
      <c r="C520" t="str">
        <f t="shared" si="68"/>
        <v>400</v>
      </c>
      <c r="D520" t="str">
        <f>"610865"</f>
        <v>610865</v>
      </c>
      <c r="E520" t="s">
        <v>19</v>
      </c>
      <c r="F520" t="s">
        <v>494</v>
      </c>
      <c r="G520">
        <v>250</v>
      </c>
      <c r="H520" t="str">
        <f>""</f>
        <v/>
      </c>
      <c r="I520">
        <v>4.9000000000000004</v>
      </c>
      <c r="J520">
        <v>0</v>
      </c>
      <c r="K520" t="str">
        <f t="shared" si="65"/>
        <v>31000</v>
      </c>
      <c r="L520" t="str">
        <f t="shared" si="69"/>
        <v>0</v>
      </c>
      <c r="M520" t="str">
        <f t="shared" si="69"/>
        <v>0</v>
      </c>
      <c r="N520" t="str">
        <f t="shared" si="69"/>
        <v>0</v>
      </c>
    </row>
    <row r="521" spans="1:14" x14ac:dyDescent="0.3">
      <c r="A521" t="s">
        <v>17</v>
      </c>
      <c r="B521" t="s">
        <v>18</v>
      </c>
      <c r="C521" t="str">
        <f t="shared" si="68"/>
        <v>400</v>
      </c>
      <c r="D521" t="str">
        <f>"610866"</f>
        <v>610866</v>
      </c>
      <c r="E521" t="s">
        <v>19</v>
      </c>
      <c r="F521" t="s">
        <v>495</v>
      </c>
      <c r="G521">
        <v>250</v>
      </c>
      <c r="H521" t="str">
        <f>""</f>
        <v/>
      </c>
      <c r="I521">
        <v>83.22</v>
      </c>
      <c r="J521">
        <v>0</v>
      </c>
      <c r="K521" t="str">
        <f t="shared" si="65"/>
        <v>31000</v>
      </c>
      <c r="L521" t="str">
        <f t="shared" si="69"/>
        <v>0</v>
      </c>
      <c r="M521" t="str">
        <f t="shared" si="69"/>
        <v>0</v>
      </c>
      <c r="N521" t="str">
        <f t="shared" si="69"/>
        <v>0</v>
      </c>
    </row>
    <row r="522" spans="1:14" x14ac:dyDescent="0.3">
      <c r="A522" t="s">
        <v>17</v>
      </c>
      <c r="B522" t="s">
        <v>18</v>
      </c>
      <c r="C522" t="str">
        <f t="shared" si="68"/>
        <v>400</v>
      </c>
      <c r="D522" t="str">
        <f>"610867"</f>
        <v>610867</v>
      </c>
      <c r="E522" t="s">
        <v>19</v>
      </c>
      <c r="F522" t="s">
        <v>496</v>
      </c>
      <c r="G522">
        <v>250</v>
      </c>
      <c r="H522" t="str">
        <f>""</f>
        <v/>
      </c>
      <c r="I522">
        <v>4.5</v>
      </c>
      <c r="J522">
        <v>0</v>
      </c>
      <c r="K522" t="str">
        <f t="shared" si="65"/>
        <v>31000</v>
      </c>
      <c r="L522" t="str">
        <f t="shared" si="69"/>
        <v>0</v>
      </c>
      <c r="M522" t="str">
        <f t="shared" si="69"/>
        <v>0</v>
      </c>
      <c r="N522" t="str">
        <f t="shared" si="69"/>
        <v>0</v>
      </c>
    </row>
    <row r="523" spans="1:14" x14ac:dyDescent="0.3">
      <c r="A523" t="s">
        <v>17</v>
      </c>
      <c r="B523" t="s">
        <v>18</v>
      </c>
      <c r="C523" t="str">
        <f t="shared" si="68"/>
        <v>400</v>
      </c>
      <c r="D523" t="str">
        <f>"610868"</f>
        <v>610868</v>
      </c>
      <c r="E523" t="s">
        <v>19</v>
      </c>
      <c r="F523" t="s">
        <v>497</v>
      </c>
      <c r="G523">
        <v>250</v>
      </c>
      <c r="H523" t="str">
        <f>""</f>
        <v/>
      </c>
      <c r="I523">
        <v>104.04</v>
      </c>
      <c r="J523">
        <v>0</v>
      </c>
      <c r="K523" t="str">
        <f t="shared" si="65"/>
        <v>31000</v>
      </c>
      <c r="L523" t="str">
        <f t="shared" si="69"/>
        <v>0</v>
      </c>
      <c r="M523" t="str">
        <f t="shared" si="69"/>
        <v>0</v>
      </c>
      <c r="N523" t="str">
        <f t="shared" si="69"/>
        <v>0</v>
      </c>
    </row>
    <row r="524" spans="1:14" x14ac:dyDescent="0.3">
      <c r="A524" t="s">
        <v>17</v>
      </c>
      <c r="B524" t="s">
        <v>18</v>
      </c>
      <c r="C524" t="str">
        <f t="shared" si="68"/>
        <v>400</v>
      </c>
      <c r="D524" t="str">
        <f>"610869"</f>
        <v>610869</v>
      </c>
      <c r="E524" t="s">
        <v>19</v>
      </c>
      <c r="F524" t="s">
        <v>498</v>
      </c>
      <c r="G524">
        <v>250</v>
      </c>
      <c r="I524">
        <v>101.22</v>
      </c>
      <c r="J524">
        <v>0</v>
      </c>
      <c r="K524" t="str">
        <f t="shared" si="65"/>
        <v>31000</v>
      </c>
    </row>
    <row r="525" spans="1:14" x14ac:dyDescent="0.3">
      <c r="A525" t="s">
        <v>17</v>
      </c>
      <c r="B525" t="s">
        <v>18</v>
      </c>
      <c r="C525" t="str">
        <f t="shared" si="68"/>
        <v>400</v>
      </c>
      <c r="D525" t="str">
        <f>"610871"</f>
        <v>610871</v>
      </c>
      <c r="E525" t="s">
        <v>19</v>
      </c>
      <c r="F525" t="s">
        <v>499</v>
      </c>
      <c r="G525">
        <v>250</v>
      </c>
      <c r="H525" t="str">
        <f>""</f>
        <v/>
      </c>
      <c r="I525">
        <v>1</v>
      </c>
      <c r="J525">
        <v>0</v>
      </c>
      <c r="K525" t="str">
        <f t="shared" si="65"/>
        <v>31000</v>
      </c>
      <c r="L525" t="str">
        <f t="shared" ref="L525:N544" si="70">"0"</f>
        <v>0</v>
      </c>
      <c r="M525" t="str">
        <f t="shared" si="70"/>
        <v>0</v>
      </c>
      <c r="N525" t="str">
        <f t="shared" si="70"/>
        <v>0</v>
      </c>
    </row>
    <row r="526" spans="1:14" x14ac:dyDescent="0.3">
      <c r="A526" t="s">
        <v>17</v>
      </c>
      <c r="B526" t="s">
        <v>18</v>
      </c>
      <c r="C526" t="str">
        <f t="shared" si="68"/>
        <v>400</v>
      </c>
      <c r="D526" t="str">
        <f>"610873"</f>
        <v>610873</v>
      </c>
      <c r="E526" t="s">
        <v>19</v>
      </c>
      <c r="F526" t="s">
        <v>500</v>
      </c>
      <c r="G526">
        <v>250</v>
      </c>
      <c r="H526" t="str">
        <f>""</f>
        <v/>
      </c>
      <c r="I526">
        <v>222.73</v>
      </c>
      <c r="J526">
        <v>0</v>
      </c>
      <c r="K526" t="str">
        <f t="shared" si="65"/>
        <v>31000</v>
      </c>
      <c r="L526" t="str">
        <f t="shared" si="70"/>
        <v>0</v>
      </c>
      <c r="M526" t="str">
        <f t="shared" si="70"/>
        <v>0</v>
      </c>
      <c r="N526" t="str">
        <f t="shared" si="70"/>
        <v>0</v>
      </c>
    </row>
    <row r="527" spans="1:14" x14ac:dyDescent="0.3">
      <c r="A527" t="s">
        <v>17</v>
      </c>
      <c r="B527" t="s">
        <v>18</v>
      </c>
      <c r="C527" t="str">
        <f t="shared" si="68"/>
        <v>400</v>
      </c>
      <c r="D527" t="str">
        <f>"610883"</f>
        <v>610883</v>
      </c>
      <c r="E527" t="s">
        <v>19</v>
      </c>
      <c r="F527" t="s">
        <v>501</v>
      </c>
      <c r="G527">
        <v>250</v>
      </c>
      <c r="H527" t="str">
        <f>""</f>
        <v/>
      </c>
      <c r="I527">
        <v>4.5</v>
      </c>
      <c r="J527">
        <v>0</v>
      </c>
      <c r="K527" t="str">
        <f t="shared" si="65"/>
        <v>31000</v>
      </c>
      <c r="L527" t="str">
        <f t="shared" si="70"/>
        <v>0</v>
      </c>
      <c r="M527" t="str">
        <f t="shared" si="70"/>
        <v>0</v>
      </c>
      <c r="N527" t="str">
        <f t="shared" si="70"/>
        <v>0</v>
      </c>
    </row>
    <row r="528" spans="1:14" x14ac:dyDescent="0.3">
      <c r="A528" t="s">
        <v>17</v>
      </c>
      <c r="B528" t="s">
        <v>18</v>
      </c>
      <c r="C528" t="str">
        <f t="shared" si="68"/>
        <v>400</v>
      </c>
      <c r="D528" t="str">
        <f>"610888"</f>
        <v>610888</v>
      </c>
      <c r="E528" t="s">
        <v>19</v>
      </c>
      <c r="F528" t="s">
        <v>502</v>
      </c>
      <c r="G528">
        <v>250</v>
      </c>
      <c r="H528" t="str">
        <f>""</f>
        <v/>
      </c>
      <c r="I528">
        <v>6</v>
      </c>
      <c r="J528">
        <v>0</v>
      </c>
      <c r="K528" t="str">
        <f t="shared" si="65"/>
        <v>31000</v>
      </c>
      <c r="L528" t="str">
        <f t="shared" si="70"/>
        <v>0</v>
      </c>
      <c r="M528" t="str">
        <f t="shared" si="70"/>
        <v>0</v>
      </c>
      <c r="N528" t="str">
        <f t="shared" si="70"/>
        <v>0</v>
      </c>
    </row>
    <row r="529" spans="1:14" x14ac:dyDescent="0.3">
      <c r="A529" t="s">
        <v>17</v>
      </c>
      <c r="B529" t="s">
        <v>18</v>
      </c>
      <c r="C529" t="str">
        <f t="shared" si="68"/>
        <v>400</v>
      </c>
      <c r="D529" t="str">
        <f>"610889"</f>
        <v>610889</v>
      </c>
      <c r="E529" t="s">
        <v>19</v>
      </c>
      <c r="F529" t="s">
        <v>503</v>
      </c>
      <c r="G529">
        <v>250</v>
      </c>
      <c r="H529" t="str">
        <f>""</f>
        <v/>
      </c>
      <c r="I529">
        <v>6</v>
      </c>
      <c r="J529">
        <v>0</v>
      </c>
      <c r="K529" t="str">
        <f t="shared" si="65"/>
        <v>31000</v>
      </c>
      <c r="L529" t="str">
        <f t="shared" si="70"/>
        <v>0</v>
      </c>
      <c r="M529" t="str">
        <f t="shared" si="70"/>
        <v>0</v>
      </c>
      <c r="N529" t="str">
        <f t="shared" si="70"/>
        <v>0</v>
      </c>
    </row>
    <row r="530" spans="1:14" x14ac:dyDescent="0.3">
      <c r="A530" t="s">
        <v>17</v>
      </c>
      <c r="B530" t="s">
        <v>18</v>
      </c>
      <c r="C530" t="str">
        <f t="shared" si="68"/>
        <v>400</v>
      </c>
      <c r="D530" t="str">
        <f>"610890"</f>
        <v>610890</v>
      </c>
      <c r="E530" t="s">
        <v>19</v>
      </c>
      <c r="F530" t="s">
        <v>504</v>
      </c>
      <c r="G530">
        <v>250</v>
      </c>
      <c r="H530" t="str">
        <f>""</f>
        <v/>
      </c>
      <c r="I530">
        <v>6</v>
      </c>
      <c r="J530">
        <v>0</v>
      </c>
      <c r="K530" t="str">
        <f t="shared" si="65"/>
        <v>31000</v>
      </c>
      <c r="L530" t="str">
        <f t="shared" si="70"/>
        <v>0</v>
      </c>
      <c r="M530" t="str">
        <f t="shared" si="70"/>
        <v>0</v>
      </c>
      <c r="N530" t="str">
        <f t="shared" si="70"/>
        <v>0</v>
      </c>
    </row>
    <row r="531" spans="1:14" x14ac:dyDescent="0.3">
      <c r="A531" t="s">
        <v>17</v>
      </c>
      <c r="B531" t="s">
        <v>18</v>
      </c>
      <c r="C531" t="str">
        <f t="shared" si="68"/>
        <v>400</v>
      </c>
      <c r="D531" t="str">
        <f>"610891"</f>
        <v>610891</v>
      </c>
      <c r="E531" t="s">
        <v>19</v>
      </c>
      <c r="F531" t="s">
        <v>505</v>
      </c>
      <c r="G531">
        <v>250</v>
      </c>
      <c r="H531" t="str">
        <f>""</f>
        <v/>
      </c>
      <c r="I531">
        <v>7.15</v>
      </c>
      <c r="J531">
        <v>0</v>
      </c>
      <c r="K531" t="str">
        <f t="shared" si="65"/>
        <v>31000</v>
      </c>
      <c r="L531" t="str">
        <f t="shared" si="70"/>
        <v>0</v>
      </c>
      <c r="M531" t="str">
        <f t="shared" si="70"/>
        <v>0</v>
      </c>
      <c r="N531" t="str">
        <f t="shared" si="70"/>
        <v>0</v>
      </c>
    </row>
    <row r="532" spans="1:14" x14ac:dyDescent="0.3">
      <c r="A532" t="s">
        <v>17</v>
      </c>
      <c r="B532" t="s">
        <v>18</v>
      </c>
      <c r="C532" t="str">
        <f t="shared" si="68"/>
        <v>400</v>
      </c>
      <c r="D532" t="str">
        <f>"610899"</f>
        <v>610899</v>
      </c>
      <c r="E532" t="s">
        <v>19</v>
      </c>
      <c r="F532" t="s">
        <v>506</v>
      </c>
      <c r="G532">
        <v>250</v>
      </c>
      <c r="H532" t="str">
        <f>""</f>
        <v/>
      </c>
      <c r="I532">
        <v>48.98</v>
      </c>
      <c r="J532">
        <v>0</v>
      </c>
      <c r="K532" t="str">
        <f t="shared" si="65"/>
        <v>31000</v>
      </c>
      <c r="L532" t="str">
        <f t="shared" si="70"/>
        <v>0</v>
      </c>
      <c r="M532" t="str">
        <f t="shared" si="70"/>
        <v>0</v>
      </c>
      <c r="N532" t="str">
        <f t="shared" si="70"/>
        <v>0</v>
      </c>
    </row>
    <row r="533" spans="1:14" x14ac:dyDescent="0.3">
      <c r="A533" t="s">
        <v>17</v>
      </c>
      <c r="B533" t="s">
        <v>18</v>
      </c>
      <c r="C533" t="str">
        <f t="shared" si="68"/>
        <v>400</v>
      </c>
      <c r="D533" t="str">
        <f>"610900"</f>
        <v>610900</v>
      </c>
      <c r="E533" t="s">
        <v>19</v>
      </c>
      <c r="F533" t="s">
        <v>507</v>
      </c>
      <c r="G533">
        <v>250</v>
      </c>
      <c r="H533" t="str">
        <f>""</f>
        <v/>
      </c>
      <c r="I533">
        <v>4.9000000000000004</v>
      </c>
      <c r="J533">
        <v>0</v>
      </c>
      <c r="K533" t="str">
        <f t="shared" si="65"/>
        <v>31000</v>
      </c>
      <c r="L533" t="str">
        <f t="shared" si="70"/>
        <v>0</v>
      </c>
      <c r="M533" t="str">
        <f t="shared" si="70"/>
        <v>0</v>
      </c>
      <c r="N533" t="str">
        <f t="shared" si="70"/>
        <v>0</v>
      </c>
    </row>
    <row r="534" spans="1:14" x14ac:dyDescent="0.3">
      <c r="A534" t="s">
        <v>17</v>
      </c>
      <c r="B534" t="s">
        <v>18</v>
      </c>
      <c r="C534" t="str">
        <f t="shared" si="68"/>
        <v>400</v>
      </c>
      <c r="D534" t="str">
        <f>"610902"</f>
        <v>610902</v>
      </c>
      <c r="E534" t="s">
        <v>19</v>
      </c>
      <c r="F534" t="s">
        <v>508</v>
      </c>
      <c r="G534">
        <v>250</v>
      </c>
      <c r="H534" t="str">
        <f>""</f>
        <v/>
      </c>
      <c r="I534">
        <v>5.5</v>
      </c>
      <c r="J534">
        <v>0</v>
      </c>
      <c r="K534" t="str">
        <f t="shared" si="65"/>
        <v>31000</v>
      </c>
      <c r="L534" t="str">
        <f t="shared" si="70"/>
        <v>0</v>
      </c>
      <c r="M534" t="str">
        <f t="shared" si="70"/>
        <v>0</v>
      </c>
      <c r="N534" t="str">
        <f t="shared" si="70"/>
        <v>0</v>
      </c>
    </row>
    <row r="535" spans="1:14" x14ac:dyDescent="0.3">
      <c r="A535" t="s">
        <v>17</v>
      </c>
      <c r="B535" t="s">
        <v>18</v>
      </c>
      <c r="C535" t="str">
        <f t="shared" si="68"/>
        <v>400</v>
      </c>
      <c r="D535" t="str">
        <f>"610903"</f>
        <v>610903</v>
      </c>
      <c r="E535" t="s">
        <v>19</v>
      </c>
      <c r="F535" t="s">
        <v>509</v>
      </c>
      <c r="G535">
        <v>250</v>
      </c>
      <c r="H535" t="str">
        <f>""</f>
        <v/>
      </c>
      <c r="I535">
        <v>4.5</v>
      </c>
      <c r="J535">
        <v>0</v>
      </c>
      <c r="K535" t="str">
        <f t="shared" si="65"/>
        <v>31000</v>
      </c>
      <c r="L535" t="str">
        <f t="shared" si="70"/>
        <v>0</v>
      </c>
      <c r="M535" t="str">
        <f t="shared" si="70"/>
        <v>0</v>
      </c>
      <c r="N535" t="str">
        <f t="shared" si="70"/>
        <v>0</v>
      </c>
    </row>
    <row r="536" spans="1:14" x14ac:dyDescent="0.3">
      <c r="A536" t="s">
        <v>17</v>
      </c>
      <c r="B536" t="s">
        <v>18</v>
      </c>
      <c r="C536" t="str">
        <f t="shared" si="68"/>
        <v>400</v>
      </c>
      <c r="D536" t="str">
        <f>"610904"</f>
        <v>610904</v>
      </c>
      <c r="E536" t="s">
        <v>19</v>
      </c>
      <c r="F536" t="s">
        <v>510</v>
      </c>
      <c r="G536">
        <v>250</v>
      </c>
      <c r="H536" t="str">
        <f>""</f>
        <v/>
      </c>
      <c r="I536">
        <v>2.5</v>
      </c>
      <c r="J536">
        <v>0</v>
      </c>
      <c r="K536" t="str">
        <f t="shared" si="65"/>
        <v>31000</v>
      </c>
      <c r="L536" t="str">
        <f t="shared" si="70"/>
        <v>0</v>
      </c>
      <c r="M536" t="str">
        <f t="shared" si="70"/>
        <v>0</v>
      </c>
      <c r="N536" t="str">
        <f t="shared" si="70"/>
        <v>0</v>
      </c>
    </row>
    <row r="537" spans="1:14" x14ac:dyDescent="0.3">
      <c r="A537" t="s">
        <v>17</v>
      </c>
      <c r="B537" t="s">
        <v>18</v>
      </c>
      <c r="C537" t="str">
        <f t="shared" si="68"/>
        <v>400</v>
      </c>
      <c r="D537" t="str">
        <f>"610905"</f>
        <v>610905</v>
      </c>
      <c r="E537" t="s">
        <v>19</v>
      </c>
      <c r="F537" t="s">
        <v>511</v>
      </c>
      <c r="G537">
        <v>250</v>
      </c>
      <c r="H537" t="str">
        <f>""</f>
        <v/>
      </c>
      <c r="I537">
        <v>5.99</v>
      </c>
      <c r="J537">
        <v>0</v>
      </c>
      <c r="K537" t="str">
        <f t="shared" si="65"/>
        <v>31000</v>
      </c>
      <c r="L537" t="str">
        <f t="shared" si="70"/>
        <v>0</v>
      </c>
      <c r="M537" t="str">
        <f t="shared" si="70"/>
        <v>0</v>
      </c>
      <c r="N537" t="str">
        <f t="shared" si="70"/>
        <v>0</v>
      </c>
    </row>
    <row r="538" spans="1:14" x14ac:dyDescent="0.3">
      <c r="A538" t="s">
        <v>17</v>
      </c>
      <c r="B538" t="s">
        <v>18</v>
      </c>
      <c r="C538" t="str">
        <f t="shared" si="68"/>
        <v>400</v>
      </c>
      <c r="D538" t="str">
        <f>"610906"</f>
        <v>610906</v>
      </c>
      <c r="E538" t="s">
        <v>19</v>
      </c>
      <c r="F538" t="s">
        <v>512</v>
      </c>
      <c r="G538">
        <v>250</v>
      </c>
      <c r="H538" t="str">
        <f>""</f>
        <v/>
      </c>
      <c r="I538">
        <v>5.99</v>
      </c>
      <c r="J538">
        <v>0</v>
      </c>
      <c r="K538" t="str">
        <f t="shared" si="65"/>
        <v>31000</v>
      </c>
      <c r="L538" t="str">
        <f t="shared" si="70"/>
        <v>0</v>
      </c>
      <c r="M538" t="str">
        <f t="shared" si="70"/>
        <v>0</v>
      </c>
      <c r="N538" t="str">
        <f t="shared" si="70"/>
        <v>0</v>
      </c>
    </row>
    <row r="539" spans="1:14" x14ac:dyDescent="0.3">
      <c r="A539" t="s">
        <v>17</v>
      </c>
      <c r="B539" t="s">
        <v>18</v>
      </c>
      <c r="C539" t="str">
        <f t="shared" si="68"/>
        <v>400</v>
      </c>
      <c r="D539" t="str">
        <f>"610907"</f>
        <v>610907</v>
      </c>
      <c r="E539" t="s">
        <v>19</v>
      </c>
      <c r="F539" t="s">
        <v>513</v>
      </c>
      <c r="G539">
        <v>250</v>
      </c>
      <c r="H539" t="str">
        <f>""</f>
        <v/>
      </c>
      <c r="I539">
        <v>4.5</v>
      </c>
      <c r="J539">
        <v>0</v>
      </c>
      <c r="K539" t="str">
        <f t="shared" si="65"/>
        <v>31000</v>
      </c>
      <c r="L539" t="str">
        <f t="shared" si="70"/>
        <v>0</v>
      </c>
      <c r="M539" t="str">
        <f t="shared" si="70"/>
        <v>0</v>
      </c>
      <c r="N539" t="str">
        <f t="shared" si="70"/>
        <v>0</v>
      </c>
    </row>
    <row r="540" spans="1:14" x14ac:dyDescent="0.3">
      <c r="A540" t="s">
        <v>17</v>
      </c>
      <c r="B540" t="s">
        <v>18</v>
      </c>
      <c r="C540" t="str">
        <f t="shared" si="68"/>
        <v>400</v>
      </c>
      <c r="D540" t="str">
        <f>"610908"</f>
        <v>610908</v>
      </c>
      <c r="E540" t="s">
        <v>19</v>
      </c>
      <c r="F540" t="s">
        <v>514</v>
      </c>
      <c r="G540">
        <v>250</v>
      </c>
      <c r="H540" t="str">
        <f>""</f>
        <v/>
      </c>
      <c r="I540">
        <v>4.5</v>
      </c>
      <c r="J540">
        <v>0</v>
      </c>
      <c r="K540" t="str">
        <f t="shared" si="65"/>
        <v>31000</v>
      </c>
      <c r="L540" t="str">
        <f t="shared" si="70"/>
        <v>0</v>
      </c>
      <c r="M540" t="str">
        <f t="shared" si="70"/>
        <v>0</v>
      </c>
      <c r="N540" t="str">
        <f t="shared" si="70"/>
        <v>0</v>
      </c>
    </row>
    <row r="541" spans="1:14" x14ac:dyDescent="0.3">
      <c r="A541" t="s">
        <v>17</v>
      </c>
      <c r="B541" t="s">
        <v>18</v>
      </c>
      <c r="C541" t="str">
        <f t="shared" si="68"/>
        <v>400</v>
      </c>
      <c r="D541" t="str">
        <f>"610909"</f>
        <v>610909</v>
      </c>
      <c r="E541" t="s">
        <v>19</v>
      </c>
      <c r="F541" t="s">
        <v>515</v>
      </c>
      <c r="G541">
        <v>250</v>
      </c>
      <c r="H541" t="str">
        <f>""</f>
        <v/>
      </c>
      <c r="I541">
        <v>4.5</v>
      </c>
      <c r="J541">
        <v>0</v>
      </c>
      <c r="K541" t="str">
        <f t="shared" si="65"/>
        <v>31000</v>
      </c>
      <c r="L541" t="str">
        <f t="shared" si="70"/>
        <v>0</v>
      </c>
      <c r="M541" t="str">
        <f t="shared" si="70"/>
        <v>0</v>
      </c>
      <c r="N541" t="str">
        <f t="shared" si="70"/>
        <v>0</v>
      </c>
    </row>
    <row r="542" spans="1:14" x14ac:dyDescent="0.3">
      <c r="A542" t="s">
        <v>17</v>
      </c>
      <c r="B542" t="s">
        <v>18</v>
      </c>
      <c r="C542" t="str">
        <f t="shared" si="68"/>
        <v>400</v>
      </c>
      <c r="D542" t="str">
        <f>"610910"</f>
        <v>610910</v>
      </c>
      <c r="E542" t="s">
        <v>19</v>
      </c>
      <c r="F542" t="s">
        <v>516</v>
      </c>
      <c r="G542">
        <v>250</v>
      </c>
      <c r="H542" t="str">
        <f>""</f>
        <v/>
      </c>
      <c r="I542">
        <v>20.85</v>
      </c>
      <c r="J542">
        <v>0</v>
      </c>
      <c r="K542" t="str">
        <f t="shared" si="65"/>
        <v>31000</v>
      </c>
      <c r="L542" t="str">
        <f t="shared" si="70"/>
        <v>0</v>
      </c>
      <c r="M542" t="str">
        <f t="shared" si="70"/>
        <v>0</v>
      </c>
      <c r="N542" t="str">
        <f t="shared" si="70"/>
        <v>0</v>
      </c>
    </row>
    <row r="543" spans="1:14" x14ac:dyDescent="0.3">
      <c r="A543" t="s">
        <v>17</v>
      </c>
      <c r="B543" t="s">
        <v>18</v>
      </c>
      <c r="C543" t="str">
        <f t="shared" si="68"/>
        <v>400</v>
      </c>
      <c r="D543" t="str">
        <f>"610912"</f>
        <v>610912</v>
      </c>
      <c r="E543" t="s">
        <v>19</v>
      </c>
      <c r="F543" t="s">
        <v>517</v>
      </c>
      <c r="G543">
        <v>250</v>
      </c>
      <c r="H543" t="str">
        <f>""</f>
        <v/>
      </c>
      <c r="I543">
        <v>15.5</v>
      </c>
      <c r="J543">
        <v>0</v>
      </c>
      <c r="K543" t="str">
        <f t="shared" si="65"/>
        <v>31000</v>
      </c>
      <c r="L543" t="str">
        <f t="shared" si="70"/>
        <v>0</v>
      </c>
      <c r="M543" t="str">
        <f t="shared" si="70"/>
        <v>0</v>
      </c>
      <c r="N543" t="str">
        <f t="shared" si="70"/>
        <v>0</v>
      </c>
    </row>
    <row r="544" spans="1:14" x14ac:dyDescent="0.3">
      <c r="A544" t="s">
        <v>17</v>
      </c>
      <c r="B544" t="s">
        <v>18</v>
      </c>
      <c r="C544" t="str">
        <f t="shared" si="68"/>
        <v>400</v>
      </c>
      <c r="D544" t="str">
        <f>"610913"</f>
        <v>610913</v>
      </c>
      <c r="E544" t="s">
        <v>19</v>
      </c>
      <c r="F544" t="s">
        <v>518</v>
      </c>
      <c r="G544">
        <v>250</v>
      </c>
      <c r="H544" t="str">
        <f>""</f>
        <v/>
      </c>
      <c r="I544">
        <v>4.5</v>
      </c>
      <c r="J544">
        <v>0</v>
      </c>
      <c r="K544" t="str">
        <f t="shared" si="65"/>
        <v>31000</v>
      </c>
      <c r="L544" t="str">
        <f t="shared" si="70"/>
        <v>0</v>
      </c>
      <c r="M544" t="str">
        <f t="shared" si="70"/>
        <v>0</v>
      </c>
      <c r="N544" t="str">
        <f t="shared" si="70"/>
        <v>0</v>
      </c>
    </row>
    <row r="545" spans="1:14" x14ac:dyDescent="0.3">
      <c r="A545" t="s">
        <v>17</v>
      </c>
      <c r="B545" t="s">
        <v>18</v>
      </c>
      <c r="C545" t="str">
        <f t="shared" si="68"/>
        <v>400</v>
      </c>
      <c r="D545" t="str">
        <f>"610914"</f>
        <v>610914</v>
      </c>
      <c r="E545" t="s">
        <v>19</v>
      </c>
      <c r="F545" t="s">
        <v>519</v>
      </c>
      <c r="G545">
        <v>250</v>
      </c>
      <c r="H545" t="str">
        <f>""</f>
        <v/>
      </c>
      <c r="I545">
        <v>4.5</v>
      </c>
      <c r="J545">
        <v>0</v>
      </c>
      <c r="K545" t="str">
        <f t="shared" si="65"/>
        <v>31000</v>
      </c>
      <c r="L545" t="str">
        <f t="shared" ref="L545:N563" si="71">"0"</f>
        <v>0</v>
      </c>
      <c r="M545" t="str">
        <f t="shared" si="71"/>
        <v>0</v>
      </c>
      <c r="N545" t="str">
        <f t="shared" si="71"/>
        <v>0</v>
      </c>
    </row>
    <row r="546" spans="1:14" x14ac:dyDescent="0.3">
      <c r="A546" t="s">
        <v>17</v>
      </c>
      <c r="B546" t="s">
        <v>18</v>
      </c>
      <c r="C546" t="str">
        <f t="shared" si="68"/>
        <v>400</v>
      </c>
      <c r="D546" t="str">
        <f>"610916"</f>
        <v>610916</v>
      </c>
      <c r="E546" t="s">
        <v>19</v>
      </c>
      <c r="F546" t="s">
        <v>520</v>
      </c>
      <c r="G546">
        <v>250</v>
      </c>
      <c r="H546" t="str">
        <f>""</f>
        <v/>
      </c>
      <c r="I546">
        <v>5.8</v>
      </c>
      <c r="J546">
        <v>0</v>
      </c>
      <c r="K546" t="str">
        <f t="shared" si="65"/>
        <v>31000</v>
      </c>
      <c r="L546" t="str">
        <f t="shared" si="71"/>
        <v>0</v>
      </c>
      <c r="M546" t="str">
        <f t="shared" si="71"/>
        <v>0</v>
      </c>
      <c r="N546" t="str">
        <f t="shared" si="71"/>
        <v>0</v>
      </c>
    </row>
    <row r="547" spans="1:14" x14ac:dyDescent="0.3">
      <c r="A547" t="s">
        <v>17</v>
      </c>
      <c r="B547" t="s">
        <v>18</v>
      </c>
      <c r="C547" t="str">
        <f t="shared" si="68"/>
        <v>400</v>
      </c>
      <c r="D547" t="str">
        <f>"610917"</f>
        <v>610917</v>
      </c>
      <c r="E547" t="s">
        <v>19</v>
      </c>
      <c r="F547" t="s">
        <v>521</v>
      </c>
      <c r="G547">
        <v>250</v>
      </c>
      <c r="H547" t="str">
        <f>""</f>
        <v/>
      </c>
      <c r="I547">
        <v>5.8</v>
      </c>
      <c r="J547">
        <v>0</v>
      </c>
      <c r="K547" t="str">
        <f t="shared" si="65"/>
        <v>31000</v>
      </c>
      <c r="L547" t="str">
        <f t="shared" si="71"/>
        <v>0</v>
      </c>
      <c r="M547" t="str">
        <f t="shared" si="71"/>
        <v>0</v>
      </c>
      <c r="N547" t="str">
        <f t="shared" si="71"/>
        <v>0</v>
      </c>
    </row>
    <row r="548" spans="1:14" x14ac:dyDescent="0.3">
      <c r="A548" t="s">
        <v>17</v>
      </c>
      <c r="B548" t="s">
        <v>18</v>
      </c>
      <c r="C548" t="str">
        <f t="shared" si="68"/>
        <v>400</v>
      </c>
      <c r="D548" t="str">
        <f>"610918"</f>
        <v>610918</v>
      </c>
      <c r="E548" t="s">
        <v>19</v>
      </c>
      <c r="F548" t="s">
        <v>522</v>
      </c>
      <c r="G548">
        <v>250</v>
      </c>
      <c r="H548" t="str">
        <f>""</f>
        <v/>
      </c>
      <c r="I548">
        <v>5.8</v>
      </c>
      <c r="J548">
        <v>0</v>
      </c>
      <c r="K548" t="str">
        <f t="shared" si="65"/>
        <v>31000</v>
      </c>
      <c r="L548" t="str">
        <f t="shared" si="71"/>
        <v>0</v>
      </c>
      <c r="M548" t="str">
        <f t="shared" si="71"/>
        <v>0</v>
      </c>
      <c r="N548" t="str">
        <f t="shared" si="71"/>
        <v>0</v>
      </c>
    </row>
    <row r="549" spans="1:14" x14ac:dyDescent="0.3">
      <c r="A549" t="s">
        <v>17</v>
      </c>
      <c r="B549" t="s">
        <v>18</v>
      </c>
      <c r="C549" t="str">
        <f t="shared" si="68"/>
        <v>400</v>
      </c>
      <c r="D549" t="str">
        <f>"610919"</f>
        <v>610919</v>
      </c>
      <c r="E549" t="s">
        <v>19</v>
      </c>
      <c r="F549" t="s">
        <v>523</v>
      </c>
      <c r="G549">
        <v>250</v>
      </c>
      <c r="H549" t="str">
        <f>""</f>
        <v/>
      </c>
      <c r="I549">
        <v>7.8</v>
      </c>
      <c r="J549">
        <v>0</v>
      </c>
      <c r="K549" t="str">
        <f t="shared" si="65"/>
        <v>31000</v>
      </c>
      <c r="L549" t="str">
        <f t="shared" si="71"/>
        <v>0</v>
      </c>
      <c r="M549" t="str">
        <f t="shared" si="71"/>
        <v>0</v>
      </c>
      <c r="N549" t="str">
        <f t="shared" si="71"/>
        <v>0</v>
      </c>
    </row>
    <row r="550" spans="1:14" x14ac:dyDescent="0.3">
      <c r="A550" t="s">
        <v>17</v>
      </c>
      <c r="B550" t="s">
        <v>18</v>
      </c>
      <c r="C550" t="str">
        <f t="shared" si="68"/>
        <v>400</v>
      </c>
      <c r="D550" t="str">
        <f>"610920"</f>
        <v>610920</v>
      </c>
      <c r="E550" t="s">
        <v>19</v>
      </c>
      <c r="F550" t="s">
        <v>524</v>
      </c>
      <c r="G550">
        <v>250</v>
      </c>
      <c r="H550" t="str">
        <f>""</f>
        <v/>
      </c>
      <c r="I550">
        <v>2.5</v>
      </c>
      <c r="J550">
        <v>0</v>
      </c>
      <c r="K550" t="str">
        <f t="shared" si="65"/>
        <v>31000</v>
      </c>
      <c r="L550" t="str">
        <f t="shared" si="71"/>
        <v>0</v>
      </c>
      <c r="M550" t="str">
        <f t="shared" si="71"/>
        <v>0</v>
      </c>
      <c r="N550" t="str">
        <f t="shared" si="71"/>
        <v>0</v>
      </c>
    </row>
    <row r="551" spans="1:14" x14ac:dyDescent="0.3">
      <c r="A551" t="s">
        <v>17</v>
      </c>
      <c r="B551" t="s">
        <v>18</v>
      </c>
      <c r="C551" t="str">
        <f t="shared" si="68"/>
        <v>400</v>
      </c>
      <c r="D551" t="str">
        <f>"610922"</f>
        <v>610922</v>
      </c>
      <c r="E551" t="s">
        <v>19</v>
      </c>
      <c r="F551" t="s">
        <v>525</v>
      </c>
      <c r="G551">
        <v>250</v>
      </c>
      <c r="H551" t="str">
        <f>""</f>
        <v/>
      </c>
      <c r="I551">
        <v>2.5</v>
      </c>
      <c r="J551">
        <v>0</v>
      </c>
      <c r="K551" t="str">
        <f t="shared" si="65"/>
        <v>31000</v>
      </c>
      <c r="L551" t="str">
        <f t="shared" si="71"/>
        <v>0</v>
      </c>
      <c r="M551" t="str">
        <f t="shared" si="71"/>
        <v>0</v>
      </c>
      <c r="N551" t="str">
        <f t="shared" si="71"/>
        <v>0</v>
      </c>
    </row>
    <row r="552" spans="1:14" x14ac:dyDescent="0.3">
      <c r="A552" t="s">
        <v>17</v>
      </c>
      <c r="B552" t="s">
        <v>18</v>
      </c>
      <c r="C552" t="str">
        <f t="shared" si="68"/>
        <v>400</v>
      </c>
      <c r="D552" t="str">
        <f>"610925"</f>
        <v>610925</v>
      </c>
      <c r="E552" t="s">
        <v>19</v>
      </c>
      <c r="F552" t="s">
        <v>526</v>
      </c>
      <c r="G552">
        <v>250</v>
      </c>
      <c r="H552" t="str">
        <f>""</f>
        <v/>
      </c>
      <c r="I552">
        <v>4.5</v>
      </c>
      <c r="J552">
        <v>0</v>
      </c>
      <c r="K552" t="str">
        <f t="shared" si="65"/>
        <v>31000</v>
      </c>
      <c r="L552" t="str">
        <f t="shared" si="71"/>
        <v>0</v>
      </c>
      <c r="M552" t="str">
        <f t="shared" si="71"/>
        <v>0</v>
      </c>
      <c r="N552" t="str">
        <f t="shared" si="71"/>
        <v>0</v>
      </c>
    </row>
    <row r="553" spans="1:14" x14ac:dyDescent="0.3">
      <c r="A553" t="s">
        <v>17</v>
      </c>
      <c r="B553" t="s">
        <v>18</v>
      </c>
      <c r="C553" t="str">
        <f t="shared" si="68"/>
        <v>400</v>
      </c>
      <c r="D553" t="str">
        <f>"610930"</f>
        <v>610930</v>
      </c>
      <c r="E553" t="s">
        <v>19</v>
      </c>
      <c r="F553" t="s">
        <v>527</v>
      </c>
      <c r="G553">
        <v>250</v>
      </c>
      <c r="H553" t="str">
        <f>""</f>
        <v/>
      </c>
      <c r="I553">
        <v>12.75</v>
      </c>
      <c r="J553">
        <v>0</v>
      </c>
      <c r="K553" t="str">
        <f t="shared" si="65"/>
        <v>31000</v>
      </c>
      <c r="L553" t="str">
        <f t="shared" si="71"/>
        <v>0</v>
      </c>
      <c r="M553" t="str">
        <f t="shared" si="71"/>
        <v>0</v>
      </c>
      <c r="N553" t="str">
        <f t="shared" si="71"/>
        <v>0</v>
      </c>
    </row>
    <row r="554" spans="1:14" x14ac:dyDescent="0.3">
      <c r="A554" t="s">
        <v>17</v>
      </c>
      <c r="B554" t="s">
        <v>18</v>
      </c>
      <c r="C554" t="str">
        <f t="shared" si="68"/>
        <v>400</v>
      </c>
      <c r="D554" t="str">
        <f>"610931"</f>
        <v>610931</v>
      </c>
      <c r="E554" t="s">
        <v>19</v>
      </c>
      <c r="F554" t="s">
        <v>528</v>
      </c>
      <c r="G554">
        <v>250</v>
      </c>
      <c r="H554" t="str">
        <f>""</f>
        <v/>
      </c>
      <c r="I554">
        <v>2.5</v>
      </c>
      <c r="J554">
        <v>0</v>
      </c>
      <c r="K554" t="str">
        <f t="shared" si="65"/>
        <v>31000</v>
      </c>
      <c r="L554" t="str">
        <f t="shared" si="71"/>
        <v>0</v>
      </c>
      <c r="M554" t="str">
        <f t="shared" si="71"/>
        <v>0</v>
      </c>
      <c r="N554" t="str">
        <f t="shared" si="71"/>
        <v>0</v>
      </c>
    </row>
    <row r="555" spans="1:14" x14ac:dyDescent="0.3">
      <c r="A555" t="s">
        <v>17</v>
      </c>
      <c r="B555" t="s">
        <v>18</v>
      </c>
      <c r="C555" t="str">
        <f t="shared" si="68"/>
        <v>400</v>
      </c>
      <c r="D555" t="str">
        <f>"610932"</f>
        <v>610932</v>
      </c>
      <c r="E555" t="s">
        <v>19</v>
      </c>
      <c r="F555" t="s">
        <v>529</v>
      </c>
      <c r="G555">
        <v>250</v>
      </c>
      <c r="H555" t="str">
        <f>""</f>
        <v/>
      </c>
      <c r="I555">
        <v>3.5</v>
      </c>
      <c r="J555">
        <v>0</v>
      </c>
      <c r="K555" t="str">
        <f t="shared" ref="K555:K618" si="72">"31000"</f>
        <v>31000</v>
      </c>
      <c r="L555" t="str">
        <f t="shared" si="71"/>
        <v>0</v>
      </c>
      <c r="M555" t="str">
        <f t="shared" si="71"/>
        <v>0</v>
      </c>
      <c r="N555" t="str">
        <f t="shared" si="71"/>
        <v>0</v>
      </c>
    </row>
    <row r="556" spans="1:14" x14ac:dyDescent="0.3">
      <c r="A556" t="s">
        <v>17</v>
      </c>
      <c r="B556" t="s">
        <v>18</v>
      </c>
      <c r="C556" t="str">
        <f t="shared" si="68"/>
        <v>400</v>
      </c>
      <c r="D556" t="str">
        <f>"610937"</f>
        <v>610937</v>
      </c>
      <c r="E556" t="s">
        <v>19</v>
      </c>
      <c r="F556" t="s">
        <v>530</v>
      </c>
      <c r="G556">
        <v>250</v>
      </c>
      <c r="H556" t="str">
        <f>""</f>
        <v/>
      </c>
      <c r="I556">
        <v>2.5</v>
      </c>
      <c r="J556">
        <v>0</v>
      </c>
      <c r="K556" t="str">
        <f t="shared" si="72"/>
        <v>31000</v>
      </c>
      <c r="L556" t="str">
        <f t="shared" si="71"/>
        <v>0</v>
      </c>
      <c r="M556" t="str">
        <f t="shared" si="71"/>
        <v>0</v>
      </c>
      <c r="N556" t="str">
        <f t="shared" si="71"/>
        <v>0</v>
      </c>
    </row>
    <row r="557" spans="1:14" x14ac:dyDescent="0.3">
      <c r="A557" t="s">
        <v>17</v>
      </c>
      <c r="B557" t="s">
        <v>18</v>
      </c>
      <c r="C557" t="str">
        <f t="shared" si="68"/>
        <v>400</v>
      </c>
      <c r="D557" t="str">
        <f>"610938"</f>
        <v>610938</v>
      </c>
      <c r="E557" t="s">
        <v>19</v>
      </c>
      <c r="F557" t="s">
        <v>531</v>
      </c>
      <c r="G557">
        <v>250</v>
      </c>
      <c r="H557" t="str">
        <f>""</f>
        <v/>
      </c>
      <c r="I557">
        <v>153.36000000000001</v>
      </c>
      <c r="J557">
        <v>0</v>
      </c>
      <c r="K557" t="str">
        <f t="shared" si="72"/>
        <v>31000</v>
      </c>
      <c r="L557" t="str">
        <f t="shared" si="71"/>
        <v>0</v>
      </c>
      <c r="M557" t="str">
        <f t="shared" si="71"/>
        <v>0</v>
      </c>
      <c r="N557" t="str">
        <f t="shared" si="71"/>
        <v>0</v>
      </c>
    </row>
    <row r="558" spans="1:14" x14ac:dyDescent="0.3">
      <c r="A558" t="s">
        <v>17</v>
      </c>
      <c r="B558" t="s">
        <v>18</v>
      </c>
      <c r="C558" t="str">
        <f t="shared" si="68"/>
        <v>400</v>
      </c>
      <c r="D558" t="str">
        <f>"610940"</f>
        <v>610940</v>
      </c>
      <c r="E558" t="s">
        <v>19</v>
      </c>
      <c r="F558" t="s">
        <v>532</v>
      </c>
      <c r="G558">
        <v>250</v>
      </c>
      <c r="H558" t="str">
        <f>""</f>
        <v/>
      </c>
      <c r="I558">
        <v>54.98</v>
      </c>
      <c r="J558">
        <v>0</v>
      </c>
      <c r="K558" t="str">
        <f t="shared" si="72"/>
        <v>31000</v>
      </c>
      <c r="L558" t="str">
        <f t="shared" si="71"/>
        <v>0</v>
      </c>
      <c r="M558" t="str">
        <f t="shared" si="71"/>
        <v>0</v>
      </c>
      <c r="N558" t="str">
        <f t="shared" si="71"/>
        <v>0</v>
      </c>
    </row>
    <row r="559" spans="1:14" x14ac:dyDescent="0.3">
      <c r="A559" t="s">
        <v>17</v>
      </c>
      <c r="B559" t="s">
        <v>18</v>
      </c>
      <c r="C559" t="str">
        <f t="shared" si="68"/>
        <v>400</v>
      </c>
      <c r="D559" t="str">
        <f>"610944"</f>
        <v>610944</v>
      </c>
      <c r="E559" t="s">
        <v>19</v>
      </c>
      <c r="F559" t="s">
        <v>533</v>
      </c>
      <c r="G559">
        <v>250</v>
      </c>
      <c r="H559" t="str">
        <f>""</f>
        <v/>
      </c>
      <c r="I559">
        <v>22.05</v>
      </c>
      <c r="J559">
        <v>0</v>
      </c>
      <c r="K559" t="str">
        <f t="shared" si="72"/>
        <v>31000</v>
      </c>
      <c r="L559" t="str">
        <f t="shared" si="71"/>
        <v>0</v>
      </c>
      <c r="M559" t="str">
        <f t="shared" si="71"/>
        <v>0</v>
      </c>
      <c r="N559" t="str">
        <f t="shared" si="71"/>
        <v>0</v>
      </c>
    </row>
    <row r="560" spans="1:14" x14ac:dyDescent="0.3">
      <c r="A560" t="s">
        <v>17</v>
      </c>
      <c r="B560" t="s">
        <v>18</v>
      </c>
      <c r="C560" t="str">
        <f t="shared" si="68"/>
        <v>400</v>
      </c>
      <c r="D560" t="str">
        <f>"610946"</f>
        <v>610946</v>
      </c>
      <c r="E560" t="s">
        <v>19</v>
      </c>
      <c r="F560" t="s">
        <v>534</v>
      </c>
      <c r="G560">
        <v>250</v>
      </c>
      <c r="H560" t="str">
        <f>""</f>
        <v/>
      </c>
      <c r="I560">
        <v>7.5</v>
      </c>
      <c r="J560">
        <v>0</v>
      </c>
      <c r="K560" t="str">
        <f t="shared" si="72"/>
        <v>31000</v>
      </c>
      <c r="L560" t="str">
        <f t="shared" si="71"/>
        <v>0</v>
      </c>
      <c r="M560" t="str">
        <f t="shared" si="71"/>
        <v>0</v>
      </c>
      <c r="N560" t="str">
        <f t="shared" si="71"/>
        <v>0</v>
      </c>
    </row>
    <row r="561" spans="1:14" x14ac:dyDescent="0.3">
      <c r="A561" t="s">
        <v>17</v>
      </c>
      <c r="B561" t="s">
        <v>18</v>
      </c>
      <c r="C561" t="str">
        <f t="shared" si="68"/>
        <v>400</v>
      </c>
      <c r="D561" t="str">
        <f>"610951"</f>
        <v>610951</v>
      </c>
      <c r="E561" t="s">
        <v>19</v>
      </c>
      <c r="F561" t="s">
        <v>535</v>
      </c>
      <c r="G561">
        <v>250</v>
      </c>
      <c r="H561" t="str">
        <f>""</f>
        <v/>
      </c>
      <c r="I561">
        <v>67</v>
      </c>
      <c r="J561">
        <v>0</v>
      </c>
      <c r="K561" t="str">
        <f t="shared" si="72"/>
        <v>31000</v>
      </c>
      <c r="L561" t="str">
        <f t="shared" si="71"/>
        <v>0</v>
      </c>
      <c r="M561" t="str">
        <f t="shared" si="71"/>
        <v>0</v>
      </c>
      <c r="N561" t="str">
        <f t="shared" si="71"/>
        <v>0</v>
      </c>
    </row>
    <row r="562" spans="1:14" x14ac:dyDescent="0.3">
      <c r="A562" t="s">
        <v>17</v>
      </c>
      <c r="B562" t="s">
        <v>18</v>
      </c>
      <c r="C562" t="str">
        <f t="shared" si="68"/>
        <v>400</v>
      </c>
      <c r="D562" t="str">
        <f>"610960"</f>
        <v>610960</v>
      </c>
      <c r="E562" t="s">
        <v>19</v>
      </c>
      <c r="F562" t="s">
        <v>536</v>
      </c>
      <c r="G562">
        <v>250</v>
      </c>
      <c r="H562" t="str">
        <f>""</f>
        <v/>
      </c>
      <c r="I562">
        <v>3.1</v>
      </c>
      <c r="J562">
        <v>0</v>
      </c>
      <c r="K562" t="str">
        <f t="shared" si="72"/>
        <v>31000</v>
      </c>
      <c r="L562" t="str">
        <f t="shared" si="71"/>
        <v>0</v>
      </c>
      <c r="M562" t="str">
        <f t="shared" si="71"/>
        <v>0</v>
      </c>
      <c r="N562" t="str">
        <f t="shared" si="71"/>
        <v>0</v>
      </c>
    </row>
    <row r="563" spans="1:14" x14ac:dyDescent="0.3">
      <c r="A563" t="s">
        <v>17</v>
      </c>
      <c r="B563" t="s">
        <v>18</v>
      </c>
      <c r="C563" t="str">
        <f t="shared" si="68"/>
        <v>400</v>
      </c>
      <c r="D563" t="str">
        <f>"610964"</f>
        <v>610964</v>
      </c>
      <c r="E563" t="s">
        <v>19</v>
      </c>
      <c r="F563" t="s">
        <v>537</v>
      </c>
      <c r="G563">
        <v>250</v>
      </c>
      <c r="H563" t="str">
        <f>""</f>
        <v/>
      </c>
      <c r="I563">
        <v>26.46</v>
      </c>
      <c r="J563">
        <v>0</v>
      </c>
      <c r="K563" t="str">
        <f t="shared" si="72"/>
        <v>31000</v>
      </c>
      <c r="L563" t="str">
        <f t="shared" si="71"/>
        <v>0</v>
      </c>
      <c r="M563" t="str">
        <f t="shared" si="71"/>
        <v>0</v>
      </c>
      <c r="N563" t="str">
        <f t="shared" si="71"/>
        <v>0</v>
      </c>
    </row>
    <row r="564" spans="1:14" x14ac:dyDescent="0.3">
      <c r="A564" t="s">
        <v>17</v>
      </c>
      <c r="B564" t="s">
        <v>18</v>
      </c>
      <c r="C564" t="str">
        <f t="shared" si="68"/>
        <v>400</v>
      </c>
      <c r="D564" t="str">
        <f>"610974"</f>
        <v>610974</v>
      </c>
      <c r="E564" t="s">
        <v>19</v>
      </c>
      <c r="F564" t="s">
        <v>538</v>
      </c>
      <c r="G564">
        <v>250</v>
      </c>
      <c r="I564">
        <v>4</v>
      </c>
      <c r="J564">
        <v>0</v>
      </c>
      <c r="K564" t="str">
        <f t="shared" si="72"/>
        <v>31000</v>
      </c>
    </row>
    <row r="565" spans="1:14" x14ac:dyDescent="0.3">
      <c r="A565" t="s">
        <v>17</v>
      </c>
      <c r="B565" t="s">
        <v>18</v>
      </c>
      <c r="C565" t="str">
        <f t="shared" si="68"/>
        <v>400</v>
      </c>
      <c r="D565" t="str">
        <f>"610983"</f>
        <v>610983</v>
      </c>
      <c r="E565" t="s">
        <v>19</v>
      </c>
      <c r="F565" t="s">
        <v>539</v>
      </c>
      <c r="G565">
        <v>250</v>
      </c>
      <c r="I565">
        <v>5</v>
      </c>
      <c r="J565">
        <v>0</v>
      </c>
      <c r="K565" t="str">
        <f t="shared" si="72"/>
        <v>31000</v>
      </c>
    </row>
    <row r="566" spans="1:14" x14ac:dyDescent="0.3">
      <c r="A566" t="s">
        <v>17</v>
      </c>
      <c r="B566" t="s">
        <v>18</v>
      </c>
      <c r="C566" t="str">
        <f t="shared" si="68"/>
        <v>400</v>
      </c>
      <c r="D566" t="str">
        <f>"610991"</f>
        <v>610991</v>
      </c>
      <c r="E566" t="s">
        <v>19</v>
      </c>
      <c r="F566" t="s">
        <v>540</v>
      </c>
      <c r="G566">
        <v>250</v>
      </c>
      <c r="H566" t="str">
        <f>""</f>
        <v/>
      </c>
      <c r="I566">
        <v>5.5</v>
      </c>
      <c r="J566">
        <v>0</v>
      </c>
      <c r="K566" t="str">
        <f t="shared" si="72"/>
        <v>31000</v>
      </c>
      <c r="L566" t="str">
        <f t="shared" ref="L566:N585" si="73">"0"</f>
        <v>0</v>
      </c>
      <c r="M566" t="str">
        <f t="shared" si="73"/>
        <v>0</v>
      </c>
      <c r="N566" t="str">
        <f t="shared" si="73"/>
        <v>0</v>
      </c>
    </row>
    <row r="567" spans="1:14" x14ac:dyDescent="0.3">
      <c r="A567" t="s">
        <v>17</v>
      </c>
      <c r="B567" t="s">
        <v>18</v>
      </c>
      <c r="C567" t="str">
        <f t="shared" si="68"/>
        <v>400</v>
      </c>
      <c r="D567" t="str">
        <f>"610992"</f>
        <v>610992</v>
      </c>
      <c r="E567" t="s">
        <v>19</v>
      </c>
      <c r="F567" t="s">
        <v>541</v>
      </c>
      <c r="G567">
        <v>250</v>
      </c>
      <c r="H567" t="str">
        <f>""</f>
        <v/>
      </c>
      <c r="I567">
        <v>5.5</v>
      </c>
      <c r="J567">
        <v>0</v>
      </c>
      <c r="K567" t="str">
        <f t="shared" si="72"/>
        <v>31000</v>
      </c>
      <c r="L567" t="str">
        <f t="shared" si="73"/>
        <v>0</v>
      </c>
      <c r="M567" t="str">
        <f t="shared" si="73"/>
        <v>0</v>
      </c>
      <c r="N567" t="str">
        <f t="shared" si="73"/>
        <v>0</v>
      </c>
    </row>
    <row r="568" spans="1:14" x14ac:dyDescent="0.3">
      <c r="A568" t="s">
        <v>17</v>
      </c>
      <c r="B568" t="s">
        <v>18</v>
      </c>
      <c r="C568" t="str">
        <f t="shared" si="68"/>
        <v>400</v>
      </c>
      <c r="D568" t="str">
        <f>"610993"</f>
        <v>610993</v>
      </c>
      <c r="E568" t="s">
        <v>19</v>
      </c>
      <c r="F568" t="s">
        <v>542</v>
      </c>
      <c r="G568">
        <v>250</v>
      </c>
      <c r="H568" t="str">
        <f>""</f>
        <v/>
      </c>
      <c r="I568">
        <v>6.5</v>
      </c>
      <c r="J568">
        <v>0</v>
      </c>
      <c r="K568" t="str">
        <f t="shared" si="72"/>
        <v>31000</v>
      </c>
      <c r="L568" t="str">
        <f t="shared" si="73"/>
        <v>0</v>
      </c>
      <c r="M568" t="str">
        <f t="shared" si="73"/>
        <v>0</v>
      </c>
      <c r="N568" t="str">
        <f t="shared" si="73"/>
        <v>0</v>
      </c>
    </row>
    <row r="569" spans="1:14" x14ac:dyDescent="0.3">
      <c r="A569" t="s">
        <v>17</v>
      </c>
      <c r="B569" t="s">
        <v>18</v>
      </c>
      <c r="C569" t="str">
        <f t="shared" si="68"/>
        <v>400</v>
      </c>
      <c r="D569" t="str">
        <f>"610994"</f>
        <v>610994</v>
      </c>
      <c r="E569" t="s">
        <v>19</v>
      </c>
      <c r="F569" t="s">
        <v>543</v>
      </c>
      <c r="G569">
        <v>250</v>
      </c>
      <c r="H569" t="str">
        <f>""</f>
        <v/>
      </c>
      <c r="I569">
        <v>4.5</v>
      </c>
      <c r="J569">
        <v>0</v>
      </c>
      <c r="K569" t="str">
        <f t="shared" si="72"/>
        <v>31000</v>
      </c>
      <c r="L569" t="str">
        <f t="shared" si="73"/>
        <v>0</v>
      </c>
      <c r="M569" t="str">
        <f t="shared" si="73"/>
        <v>0</v>
      </c>
      <c r="N569" t="str">
        <f t="shared" si="73"/>
        <v>0</v>
      </c>
    </row>
    <row r="570" spans="1:14" x14ac:dyDescent="0.3">
      <c r="A570" t="s">
        <v>17</v>
      </c>
      <c r="B570" t="s">
        <v>18</v>
      </c>
      <c r="C570" t="str">
        <f t="shared" si="68"/>
        <v>400</v>
      </c>
      <c r="D570" t="str">
        <f>"610995"</f>
        <v>610995</v>
      </c>
      <c r="E570" t="s">
        <v>19</v>
      </c>
      <c r="F570" t="s">
        <v>544</v>
      </c>
      <c r="G570">
        <v>250</v>
      </c>
      <c r="H570" t="str">
        <f>""</f>
        <v/>
      </c>
      <c r="I570">
        <v>12.5</v>
      </c>
      <c r="J570">
        <v>0</v>
      </c>
      <c r="K570" t="str">
        <f t="shared" si="72"/>
        <v>31000</v>
      </c>
      <c r="L570" t="str">
        <f t="shared" si="73"/>
        <v>0</v>
      </c>
      <c r="M570" t="str">
        <f t="shared" si="73"/>
        <v>0</v>
      </c>
      <c r="N570" t="str">
        <f t="shared" si="73"/>
        <v>0</v>
      </c>
    </row>
    <row r="571" spans="1:14" x14ac:dyDescent="0.3">
      <c r="A571" t="s">
        <v>17</v>
      </c>
      <c r="B571" t="s">
        <v>18</v>
      </c>
      <c r="C571" t="str">
        <f t="shared" si="68"/>
        <v>400</v>
      </c>
      <c r="D571" t="str">
        <f>"610996"</f>
        <v>610996</v>
      </c>
      <c r="E571" t="s">
        <v>19</v>
      </c>
      <c r="F571" t="s">
        <v>545</v>
      </c>
      <c r="G571">
        <v>250</v>
      </c>
      <c r="H571" t="str">
        <f>""</f>
        <v/>
      </c>
      <c r="I571">
        <v>4.5</v>
      </c>
      <c r="J571">
        <v>0</v>
      </c>
      <c r="K571" t="str">
        <f t="shared" si="72"/>
        <v>31000</v>
      </c>
      <c r="L571" t="str">
        <f t="shared" si="73"/>
        <v>0</v>
      </c>
      <c r="M571" t="str">
        <f t="shared" si="73"/>
        <v>0</v>
      </c>
      <c r="N571" t="str">
        <f t="shared" si="73"/>
        <v>0</v>
      </c>
    </row>
    <row r="572" spans="1:14" x14ac:dyDescent="0.3">
      <c r="A572" t="s">
        <v>17</v>
      </c>
      <c r="B572" t="s">
        <v>18</v>
      </c>
      <c r="C572" t="str">
        <f t="shared" si="68"/>
        <v>400</v>
      </c>
      <c r="D572" t="str">
        <f>"610997"</f>
        <v>610997</v>
      </c>
      <c r="E572" t="s">
        <v>19</v>
      </c>
      <c r="F572" t="s">
        <v>546</v>
      </c>
      <c r="G572">
        <v>250</v>
      </c>
      <c r="H572" t="str">
        <f>""</f>
        <v/>
      </c>
      <c r="I572">
        <v>4.5</v>
      </c>
      <c r="J572">
        <v>0</v>
      </c>
      <c r="K572" t="str">
        <f t="shared" si="72"/>
        <v>31000</v>
      </c>
      <c r="L572" t="str">
        <f t="shared" si="73"/>
        <v>0</v>
      </c>
      <c r="M572" t="str">
        <f t="shared" si="73"/>
        <v>0</v>
      </c>
      <c r="N572" t="str">
        <f t="shared" si="73"/>
        <v>0</v>
      </c>
    </row>
    <row r="573" spans="1:14" x14ac:dyDescent="0.3">
      <c r="A573" t="s">
        <v>17</v>
      </c>
      <c r="B573" t="s">
        <v>18</v>
      </c>
      <c r="C573" t="str">
        <f t="shared" si="68"/>
        <v>400</v>
      </c>
      <c r="D573" t="str">
        <f>"610998"</f>
        <v>610998</v>
      </c>
      <c r="E573" t="s">
        <v>19</v>
      </c>
      <c r="F573" t="s">
        <v>547</v>
      </c>
      <c r="G573">
        <v>250</v>
      </c>
      <c r="H573" t="str">
        <f>""</f>
        <v/>
      </c>
      <c r="I573">
        <v>4.5</v>
      </c>
      <c r="J573">
        <v>0</v>
      </c>
      <c r="K573" t="str">
        <f t="shared" si="72"/>
        <v>31000</v>
      </c>
      <c r="L573" t="str">
        <f t="shared" si="73"/>
        <v>0</v>
      </c>
      <c r="M573" t="str">
        <f t="shared" si="73"/>
        <v>0</v>
      </c>
      <c r="N573" t="str">
        <f t="shared" si="73"/>
        <v>0</v>
      </c>
    </row>
    <row r="574" spans="1:14" x14ac:dyDescent="0.3">
      <c r="A574" t="s">
        <v>17</v>
      </c>
      <c r="B574" t="s">
        <v>18</v>
      </c>
      <c r="C574" t="str">
        <f t="shared" si="68"/>
        <v>400</v>
      </c>
      <c r="D574" t="str">
        <f>"610999"</f>
        <v>610999</v>
      </c>
      <c r="E574" t="s">
        <v>19</v>
      </c>
      <c r="F574" t="s">
        <v>548</v>
      </c>
      <c r="G574">
        <v>250</v>
      </c>
      <c r="H574" t="str">
        <f>""</f>
        <v/>
      </c>
      <c r="I574">
        <v>7.5</v>
      </c>
      <c r="J574">
        <v>0</v>
      </c>
      <c r="K574" t="str">
        <f t="shared" si="72"/>
        <v>31000</v>
      </c>
      <c r="L574" t="str">
        <f t="shared" si="73"/>
        <v>0</v>
      </c>
      <c r="M574" t="str">
        <f t="shared" si="73"/>
        <v>0</v>
      </c>
      <c r="N574" t="str">
        <f t="shared" si="73"/>
        <v>0</v>
      </c>
    </row>
    <row r="575" spans="1:14" x14ac:dyDescent="0.3">
      <c r="A575" t="s">
        <v>17</v>
      </c>
      <c r="B575" t="s">
        <v>18</v>
      </c>
      <c r="C575" t="str">
        <f t="shared" si="68"/>
        <v>400</v>
      </c>
      <c r="D575" t="str">
        <f>"611003"</f>
        <v>611003</v>
      </c>
      <c r="E575" t="s">
        <v>19</v>
      </c>
      <c r="F575" t="s">
        <v>549</v>
      </c>
      <c r="G575">
        <v>250</v>
      </c>
      <c r="H575" t="str">
        <f>""</f>
        <v/>
      </c>
      <c r="I575">
        <v>4.5</v>
      </c>
      <c r="J575">
        <v>0</v>
      </c>
      <c r="K575" t="str">
        <f t="shared" si="72"/>
        <v>31000</v>
      </c>
      <c r="L575" t="str">
        <f t="shared" si="73"/>
        <v>0</v>
      </c>
      <c r="M575" t="str">
        <f t="shared" si="73"/>
        <v>0</v>
      </c>
      <c r="N575" t="str">
        <f t="shared" si="73"/>
        <v>0</v>
      </c>
    </row>
    <row r="576" spans="1:14" x14ac:dyDescent="0.3">
      <c r="A576" t="s">
        <v>17</v>
      </c>
      <c r="B576" t="s">
        <v>18</v>
      </c>
      <c r="C576" t="str">
        <f t="shared" si="68"/>
        <v>400</v>
      </c>
      <c r="D576" t="str">
        <f>"611004"</f>
        <v>611004</v>
      </c>
      <c r="E576" t="s">
        <v>19</v>
      </c>
      <c r="F576" t="s">
        <v>550</v>
      </c>
      <c r="G576">
        <v>250</v>
      </c>
      <c r="H576" t="str">
        <f>""</f>
        <v/>
      </c>
      <c r="I576">
        <v>19.29</v>
      </c>
      <c r="J576">
        <v>0</v>
      </c>
      <c r="K576" t="str">
        <f t="shared" si="72"/>
        <v>31000</v>
      </c>
      <c r="L576" t="str">
        <f t="shared" si="73"/>
        <v>0</v>
      </c>
      <c r="M576" t="str">
        <f t="shared" si="73"/>
        <v>0</v>
      </c>
      <c r="N576" t="str">
        <f t="shared" si="73"/>
        <v>0</v>
      </c>
    </row>
    <row r="577" spans="1:14" x14ac:dyDescent="0.3">
      <c r="A577" t="s">
        <v>17</v>
      </c>
      <c r="B577" t="s">
        <v>18</v>
      </c>
      <c r="C577" t="str">
        <f t="shared" si="68"/>
        <v>400</v>
      </c>
      <c r="D577" t="str">
        <f>"611005"</f>
        <v>611005</v>
      </c>
      <c r="E577" t="s">
        <v>19</v>
      </c>
      <c r="F577" t="s">
        <v>551</v>
      </c>
      <c r="G577">
        <v>250</v>
      </c>
      <c r="H577" t="str">
        <f>""</f>
        <v/>
      </c>
      <c r="I577">
        <v>5</v>
      </c>
      <c r="J577">
        <v>0</v>
      </c>
      <c r="K577" t="str">
        <f t="shared" si="72"/>
        <v>31000</v>
      </c>
      <c r="L577" t="str">
        <f t="shared" si="73"/>
        <v>0</v>
      </c>
      <c r="M577" t="str">
        <f t="shared" si="73"/>
        <v>0</v>
      </c>
      <c r="N577" t="str">
        <f t="shared" si="73"/>
        <v>0</v>
      </c>
    </row>
    <row r="578" spans="1:14" x14ac:dyDescent="0.3">
      <c r="A578" t="s">
        <v>17</v>
      </c>
      <c r="B578" t="s">
        <v>18</v>
      </c>
      <c r="C578" t="str">
        <f t="shared" ref="C578:C641" si="74">"400"</f>
        <v>400</v>
      </c>
      <c r="D578" t="str">
        <f>"611025"</f>
        <v>611025</v>
      </c>
      <c r="E578" t="s">
        <v>19</v>
      </c>
      <c r="F578" t="s">
        <v>552</v>
      </c>
      <c r="G578">
        <v>250</v>
      </c>
      <c r="H578" t="str">
        <f>""</f>
        <v/>
      </c>
      <c r="I578">
        <v>4.5</v>
      </c>
      <c r="J578">
        <v>0</v>
      </c>
      <c r="K578" t="str">
        <f t="shared" si="72"/>
        <v>31000</v>
      </c>
      <c r="L578" t="str">
        <f t="shared" si="73"/>
        <v>0</v>
      </c>
      <c r="M578" t="str">
        <f t="shared" si="73"/>
        <v>0</v>
      </c>
      <c r="N578" t="str">
        <f t="shared" si="73"/>
        <v>0</v>
      </c>
    </row>
    <row r="579" spans="1:14" x14ac:dyDescent="0.3">
      <c r="A579" t="s">
        <v>17</v>
      </c>
      <c r="B579" t="s">
        <v>18</v>
      </c>
      <c r="C579" t="str">
        <f t="shared" si="74"/>
        <v>400</v>
      </c>
      <c r="D579" t="str">
        <f>"611064"</f>
        <v>611064</v>
      </c>
      <c r="E579" t="s">
        <v>19</v>
      </c>
      <c r="F579" t="s">
        <v>553</v>
      </c>
      <c r="G579">
        <v>250</v>
      </c>
      <c r="H579" t="str">
        <f>""</f>
        <v/>
      </c>
      <c r="I579">
        <v>288.51</v>
      </c>
      <c r="J579">
        <v>0</v>
      </c>
      <c r="K579" t="str">
        <f t="shared" si="72"/>
        <v>31000</v>
      </c>
      <c r="L579" t="str">
        <f t="shared" si="73"/>
        <v>0</v>
      </c>
      <c r="M579" t="str">
        <f t="shared" si="73"/>
        <v>0</v>
      </c>
      <c r="N579" t="str">
        <f t="shared" si="73"/>
        <v>0</v>
      </c>
    </row>
    <row r="580" spans="1:14" x14ac:dyDescent="0.3">
      <c r="A580" t="s">
        <v>17</v>
      </c>
      <c r="B580" t="s">
        <v>18</v>
      </c>
      <c r="C580" t="str">
        <f t="shared" si="74"/>
        <v>400</v>
      </c>
      <c r="D580" t="str">
        <f>"611065"</f>
        <v>611065</v>
      </c>
      <c r="E580" t="s">
        <v>19</v>
      </c>
      <c r="F580" t="s">
        <v>554</v>
      </c>
      <c r="G580">
        <v>250</v>
      </c>
      <c r="H580" t="str">
        <f>""</f>
        <v/>
      </c>
      <c r="I580">
        <v>20.91</v>
      </c>
      <c r="J580">
        <v>0</v>
      </c>
      <c r="K580" t="str">
        <f t="shared" si="72"/>
        <v>31000</v>
      </c>
      <c r="L580" t="str">
        <f t="shared" si="73"/>
        <v>0</v>
      </c>
      <c r="M580" t="str">
        <f t="shared" si="73"/>
        <v>0</v>
      </c>
      <c r="N580" t="str">
        <f t="shared" si="73"/>
        <v>0</v>
      </c>
    </row>
    <row r="581" spans="1:14" x14ac:dyDescent="0.3">
      <c r="A581" t="s">
        <v>17</v>
      </c>
      <c r="B581" t="s">
        <v>18</v>
      </c>
      <c r="C581" t="str">
        <f t="shared" si="74"/>
        <v>400</v>
      </c>
      <c r="D581" t="str">
        <f>"611100"</f>
        <v>611100</v>
      </c>
      <c r="E581" t="s">
        <v>19</v>
      </c>
      <c r="F581" t="s">
        <v>555</v>
      </c>
      <c r="G581">
        <v>250</v>
      </c>
      <c r="H581" t="str">
        <f>""</f>
        <v/>
      </c>
      <c r="I581">
        <v>4.5</v>
      </c>
      <c r="J581">
        <v>0</v>
      </c>
      <c r="K581" t="str">
        <f t="shared" si="72"/>
        <v>31000</v>
      </c>
      <c r="L581" t="str">
        <f t="shared" si="73"/>
        <v>0</v>
      </c>
      <c r="M581" t="str">
        <f t="shared" si="73"/>
        <v>0</v>
      </c>
      <c r="N581" t="str">
        <f t="shared" si="73"/>
        <v>0</v>
      </c>
    </row>
    <row r="582" spans="1:14" x14ac:dyDescent="0.3">
      <c r="A582" t="s">
        <v>17</v>
      </c>
      <c r="B582" t="s">
        <v>18</v>
      </c>
      <c r="C582" t="str">
        <f t="shared" si="74"/>
        <v>400</v>
      </c>
      <c r="D582" t="str">
        <f>"611101"</f>
        <v>611101</v>
      </c>
      <c r="E582" t="s">
        <v>19</v>
      </c>
      <c r="F582" t="s">
        <v>556</v>
      </c>
      <c r="G582">
        <v>250</v>
      </c>
      <c r="H582" t="str">
        <f>""</f>
        <v/>
      </c>
      <c r="I582">
        <v>5.5</v>
      </c>
      <c r="J582">
        <v>0</v>
      </c>
      <c r="K582" t="str">
        <f t="shared" si="72"/>
        <v>31000</v>
      </c>
      <c r="L582" t="str">
        <f t="shared" si="73"/>
        <v>0</v>
      </c>
      <c r="M582" t="str">
        <f t="shared" si="73"/>
        <v>0</v>
      </c>
      <c r="N582" t="str">
        <f t="shared" si="73"/>
        <v>0</v>
      </c>
    </row>
    <row r="583" spans="1:14" x14ac:dyDescent="0.3">
      <c r="A583" t="s">
        <v>17</v>
      </c>
      <c r="B583" t="s">
        <v>18</v>
      </c>
      <c r="C583" t="str">
        <f t="shared" si="74"/>
        <v>400</v>
      </c>
      <c r="D583" t="str">
        <f>"611102"</f>
        <v>611102</v>
      </c>
      <c r="E583" t="s">
        <v>19</v>
      </c>
      <c r="F583" t="s">
        <v>557</v>
      </c>
      <c r="G583">
        <v>250</v>
      </c>
      <c r="H583" t="str">
        <f>""</f>
        <v/>
      </c>
      <c r="I583">
        <v>5.95</v>
      </c>
      <c r="J583">
        <v>0</v>
      </c>
      <c r="K583" t="str">
        <f t="shared" si="72"/>
        <v>31000</v>
      </c>
      <c r="L583" t="str">
        <f t="shared" si="73"/>
        <v>0</v>
      </c>
      <c r="M583" t="str">
        <f t="shared" si="73"/>
        <v>0</v>
      </c>
      <c r="N583" t="str">
        <f t="shared" si="73"/>
        <v>0</v>
      </c>
    </row>
    <row r="584" spans="1:14" x14ac:dyDescent="0.3">
      <c r="A584" t="s">
        <v>17</v>
      </c>
      <c r="B584" t="s">
        <v>18</v>
      </c>
      <c r="C584" t="str">
        <f t="shared" si="74"/>
        <v>400</v>
      </c>
      <c r="D584" t="str">
        <f>"611110"</f>
        <v>611110</v>
      </c>
      <c r="E584" t="s">
        <v>19</v>
      </c>
      <c r="F584" t="s">
        <v>558</v>
      </c>
      <c r="G584">
        <v>250</v>
      </c>
      <c r="H584" t="str">
        <f>""</f>
        <v/>
      </c>
      <c r="I584">
        <v>4.5</v>
      </c>
      <c r="J584">
        <v>0</v>
      </c>
      <c r="K584" t="str">
        <f t="shared" si="72"/>
        <v>31000</v>
      </c>
      <c r="L584" t="str">
        <f t="shared" si="73"/>
        <v>0</v>
      </c>
      <c r="M584" t="str">
        <f t="shared" si="73"/>
        <v>0</v>
      </c>
      <c r="N584" t="str">
        <f t="shared" si="73"/>
        <v>0</v>
      </c>
    </row>
    <row r="585" spans="1:14" x14ac:dyDescent="0.3">
      <c r="A585" t="s">
        <v>17</v>
      </c>
      <c r="B585" t="s">
        <v>18</v>
      </c>
      <c r="C585" t="str">
        <f t="shared" si="74"/>
        <v>400</v>
      </c>
      <c r="D585" t="str">
        <f>"611112"</f>
        <v>611112</v>
      </c>
      <c r="E585" t="s">
        <v>19</v>
      </c>
      <c r="F585" t="s">
        <v>559</v>
      </c>
      <c r="G585">
        <v>250</v>
      </c>
      <c r="H585" t="str">
        <f>""</f>
        <v/>
      </c>
      <c r="I585">
        <v>4.5</v>
      </c>
      <c r="J585">
        <v>0</v>
      </c>
      <c r="K585" t="str">
        <f t="shared" si="72"/>
        <v>31000</v>
      </c>
      <c r="L585" t="str">
        <f t="shared" si="73"/>
        <v>0</v>
      </c>
      <c r="M585" t="str">
        <f t="shared" si="73"/>
        <v>0</v>
      </c>
      <c r="N585" t="str">
        <f t="shared" si="73"/>
        <v>0</v>
      </c>
    </row>
    <row r="586" spans="1:14" x14ac:dyDescent="0.3">
      <c r="A586" t="s">
        <v>17</v>
      </c>
      <c r="B586" t="s">
        <v>18</v>
      </c>
      <c r="C586" t="str">
        <f t="shared" si="74"/>
        <v>400</v>
      </c>
      <c r="D586" t="str">
        <f>"611115"</f>
        <v>611115</v>
      </c>
      <c r="E586" t="s">
        <v>19</v>
      </c>
      <c r="F586" t="s">
        <v>560</v>
      </c>
      <c r="G586">
        <v>250</v>
      </c>
      <c r="H586" t="str">
        <f>""</f>
        <v/>
      </c>
      <c r="I586">
        <v>5.8</v>
      </c>
      <c r="J586">
        <v>0</v>
      </c>
      <c r="K586" t="str">
        <f t="shared" si="72"/>
        <v>31000</v>
      </c>
      <c r="L586" t="str">
        <f t="shared" ref="L586:N603" si="75">"0"</f>
        <v>0</v>
      </c>
      <c r="M586" t="str">
        <f t="shared" si="75"/>
        <v>0</v>
      </c>
      <c r="N586" t="str">
        <f t="shared" si="75"/>
        <v>0</v>
      </c>
    </row>
    <row r="587" spans="1:14" x14ac:dyDescent="0.3">
      <c r="A587" t="s">
        <v>17</v>
      </c>
      <c r="B587" t="s">
        <v>18</v>
      </c>
      <c r="C587" t="str">
        <f t="shared" si="74"/>
        <v>400</v>
      </c>
      <c r="D587" t="str">
        <f>"611200"</f>
        <v>611200</v>
      </c>
      <c r="E587" t="s">
        <v>19</v>
      </c>
      <c r="F587" t="s">
        <v>561</v>
      </c>
      <c r="G587">
        <v>250</v>
      </c>
      <c r="H587" t="str">
        <f>""</f>
        <v/>
      </c>
      <c r="I587">
        <v>8</v>
      </c>
      <c r="J587">
        <v>0</v>
      </c>
      <c r="K587" t="str">
        <f t="shared" si="72"/>
        <v>31000</v>
      </c>
      <c r="L587" t="str">
        <f t="shared" si="75"/>
        <v>0</v>
      </c>
      <c r="M587" t="str">
        <f t="shared" si="75"/>
        <v>0</v>
      </c>
      <c r="N587" t="str">
        <f t="shared" si="75"/>
        <v>0</v>
      </c>
    </row>
    <row r="588" spans="1:14" x14ac:dyDescent="0.3">
      <c r="A588" t="s">
        <v>17</v>
      </c>
      <c r="B588" t="s">
        <v>18</v>
      </c>
      <c r="C588" t="str">
        <f t="shared" si="74"/>
        <v>400</v>
      </c>
      <c r="D588" t="str">
        <f>"611202"</f>
        <v>611202</v>
      </c>
      <c r="E588" t="s">
        <v>19</v>
      </c>
      <c r="F588" t="s">
        <v>562</v>
      </c>
      <c r="G588">
        <v>250</v>
      </c>
      <c r="H588" t="str">
        <f>""</f>
        <v/>
      </c>
      <c r="I588">
        <v>9.9499999999999993</v>
      </c>
      <c r="J588">
        <v>0</v>
      </c>
      <c r="K588" t="str">
        <f t="shared" si="72"/>
        <v>31000</v>
      </c>
      <c r="L588" t="str">
        <f t="shared" si="75"/>
        <v>0</v>
      </c>
      <c r="M588" t="str">
        <f t="shared" si="75"/>
        <v>0</v>
      </c>
      <c r="N588" t="str">
        <f t="shared" si="75"/>
        <v>0</v>
      </c>
    </row>
    <row r="589" spans="1:14" x14ac:dyDescent="0.3">
      <c r="A589" t="s">
        <v>17</v>
      </c>
      <c r="B589" t="s">
        <v>18</v>
      </c>
      <c r="C589" t="str">
        <f t="shared" si="74"/>
        <v>400</v>
      </c>
      <c r="D589" t="str">
        <f>"611203"</f>
        <v>611203</v>
      </c>
      <c r="E589" t="s">
        <v>19</v>
      </c>
      <c r="F589" t="s">
        <v>563</v>
      </c>
      <c r="G589">
        <v>250</v>
      </c>
      <c r="H589" t="str">
        <f>""</f>
        <v/>
      </c>
      <c r="I589">
        <v>8.5</v>
      </c>
      <c r="J589">
        <v>0</v>
      </c>
      <c r="K589" t="str">
        <f t="shared" si="72"/>
        <v>31000</v>
      </c>
      <c r="L589" t="str">
        <f t="shared" si="75"/>
        <v>0</v>
      </c>
      <c r="M589" t="str">
        <f t="shared" si="75"/>
        <v>0</v>
      </c>
      <c r="N589" t="str">
        <f t="shared" si="75"/>
        <v>0</v>
      </c>
    </row>
    <row r="590" spans="1:14" x14ac:dyDescent="0.3">
      <c r="A590" t="s">
        <v>17</v>
      </c>
      <c r="B590" t="s">
        <v>18</v>
      </c>
      <c r="C590" t="str">
        <f t="shared" si="74"/>
        <v>400</v>
      </c>
      <c r="D590" t="str">
        <f>"611204"</f>
        <v>611204</v>
      </c>
      <c r="E590" t="s">
        <v>19</v>
      </c>
      <c r="F590" t="s">
        <v>564</v>
      </c>
      <c r="G590">
        <v>250</v>
      </c>
      <c r="H590" t="str">
        <f>""</f>
        <v/>
      </c>
      <c r="I590">
        <v>35.1</v>
      </c>
      <c r="J590">
        <v>0</v>
      </c>
      <c r="K590" t="str">
        <f t="shared" si="72"/>
        <v>31000</v>
      </c>
      <c r="L590" t="str">
        <f t="shared" si="75"/>
        <v>0</v>
      </c>
      <c r="M590" t="str">
        <f t="shared" si="75"/>
        <v>0</v>
      </c>
      <c r="N590" t="str">
        <f t="shared" si="75"/>
        <v>0</v>
      </c>
    </row>
    <row r="591" spans="1:14" x14ac:dyDescent="0.3">
      <c r="A591" t="s">
        <v>17</v>
      </c>
      <c r="B591" t="s">
        <v>18</v>
      </c>
      <c r="C591" t="str">
        <f t="shared" si="74"/>
        <v>400</v>
      </c>
      <c r="D591" t="str">
        <f>"611205"</f>
        <v>611205</v>
      </c>
      <c r="E591" t="s">
        <v>19</v>
      </c>
      <c r="F591" t="s">
        <v>565</v>
      </c>
      <c r="G591">
        <v>250</v>
      </c>
      <c r="H591" t="str">
        <f>""</f>
        <v/>
      </c>
      <c r="I591">
        <v>15.95</v>
      </c>
      <c r="J591">
        <v>0</v>
      </c>
      <c r="K591" t="str">
        <f t="shared" si="72"/>
        <v>31000</v>
      </c>
      <c r="L591" t="str">
        <f t="shared" si="75"/>
        <v>0</v>
      </c>
      <c r="M591" t="str">
        <f t="shared" si="75"/>
        <v>0</v>
      </c>
      <c r="N591" t="str">
        <f t="shared" si="75"/>
        <v>0</v>
      </c>
    </row>
    <row r="592" spans="1:14" x14ac:dyDescent="0.3">
      <c r="A592" t="s">
        <v>17</v>
      </c>
      <c r="B592" t="s">
        <v>18</v>
      </c>
      <c r="C592" t="str">
        <f t="shared" si="74"/>
        <v>400</v>
      </c>
      <c r="D592" t="str">
        <f>"611207"</f>
        <v>611207</v>
      </c>
      <c r="E592" t="s">
        <v>19</v>
      </c>
      <c r="F592" t="s">
        <v>566</v>
      </c>
      <c r="G592">
        <v>250</v>
      </c>
      <c r="H592" t="str">
        <f>""</f>
        <v/>
      </c>
      <c r="I592">
        <v>5.5</v>
      </c>
      <c r="J592">
        <v>0</v>
      </c>
      <c r="K592" t="str">
        <f t="shared" si="72"/>
        <v>31000</v>
      </c>
      <c r="L592" t="str">
        <f t="shared" si="75"/>
        <v>0</v>
      </c>
      <c r="M592" t="str">
        <f t="shared" si="75"/>
        <v>0</v>
      </c>
      <c r="N592" t="str">
        <f t="shared" si="75"/>
        <v>0</v>
      </c>
    </row>
    <row r="593" spans="1:14" x14ac:dyDescent="0.3">
      <c r="A593" t="s">
        <v>17</v>
      </c>
      <c r="B593" t="s">
        <v>18</v>
      </c>
      <c r="C593" t="str">
        <f t="shared" si="74"/>
        <v>400</v>
      </c>
      <c r="D593" t="str">
        <f>"611208"</f>
        <v>611208</v>
      </c>
      <c r="E593" t="s">
        <v>19</v>
      </c>
      <c r="F593" t="s">
        <v>567</v>
      </c>
      <c r="G593">
        <v>250</v>
      </c>
      <c r="H593" t="str">
        <f>""</f>
        <v/>
      </c>
      <c r="I593">
        <v>5.5</v>
      </c>
      <c r="J593">
        <v>0</v>
      </c>
      <c r="K593" t="str">
        <f t="shared" si="72"/>
        <v>31000</v>
      </c>
      <c r="L593" t="str">
        <f t="shared" si="75"/>
        <v>0</v>
      </c>
      <c r="M593" t="str">
        <f t="shared" si="75"/>
        <v>0</v>
      </c>
      <c r="N593" t="str">
        <f t="shared" si="75"/>
        <v>0</v>
      </c>
    </row>
    <row r="594" spans="1:14" x14ac:dyDescent="0.3">
      <c r="A594" t="s">
        <v>17</v>
      </c>
      <c r="B594" t="s">
        <v>18</v>
      </c>
      <c r="C594" t="str">
        <f t="shared" si="74"/>
        <v>400</v>
      </c>
      <c r="D594" t="str">
        <f>"611209"</f>
        <v>611209</v>
      </c>
      <c r="E594" t="s">
        <v>19</v>
      </c>
      <c r="F594" t="s">
        <v>568</v>
      </c>
      <c r="G594">
        <v>250</v>
      </c>
      <c r="H594" t="str">
        <f>""</f>
        <v/>
      </c>
      <c r="I594">
        <v>2.5</v>
      </c>
      <c r="J594">
        <v>0</v>
      </c>
      <c r="K594" t="str">
        <f t="shared" si="72"/>
        <v>31000</v>
      </c>
      <c r="L594" t="str">
        <f t="shared" si="75"/>
        <v>0</v>
      </c>
      <c r="M594" t="str">
        <f t="shared" si="75"/>
        <v>0</v>
      </c>
      <c r="N594" t="str">
        <f t="shared" si="75"/>
        <v>0</v>
      </c>
    </row>
    <row r="595" spans="1:14" x14ac:dyDescent="0.3">
      <c r="A595" t="s">
        <v>17</v>
      </c>
      <c r="B595" t="s">
        <v>18</v>
      </c>
      <c r="C595" t="str">
        <f t="shared" si="74"/>
        <v>400</v>
      </c>
      <c r="D595" t="str">
        <f>"611210"</f>
        <v>611210</v>
      </c>
      <c r="E595" t="s">
        <v>19</v>
      </c>
      <c r="F595" t="s">
        <v>569</v>
      </c>
      <c r="G595">
        <v>250</v>
      </c>
      <c r="H595" t="str">
        <f>""</f>
        <v/>
      </c>
      <c r="I595">
        <v>4.5</v>
      </c>
      <c r="J595">
        <v>0</v>
      </c>
      <c r="K595" t="str">
        <f t="shared" si="72"/>
        <v>31000</v>
      </c>
      <c r="L595" t="str">
        <f t="shared" si="75"/>
        <v>0</v>
      </c>
      <c r="M595" t="str">
        <f t="shared" si="75"/>
        <v>0</v>
      </c>
      <c r="N595" t="str">
        <f t="shared" si="75"/>
        <v>0</v>
      </c>
    </row>
    <row r="596" spans="1:14" x14ac:dyDescent="0.3">
      <c r="A596" t="s">
        <v>17</v>
      </c>
      <c r="B596" t="s">
        <v>18</v>
      </c>
      <c r="C596" t="str">
        <f t="shared" si="74"/>
        <v>400</v>
      </c>
      <c r="D596" t="str">
        <f>"611211"</f>
        <v>611211</v>
      </c>
      <c r="E596" t="s">
        <v>19</v>
      </c>
      <c r="F596" t="s">
        <v>570</v>
      </c>
      <c r="G596">
        <v>250</v>
      </c>
      <c r="H596" t="str">
        <f>""</f>
        <v/>
      </c>
      <c r="I596">
        <v>35</v>
      </c>
      <c r="J596">
        <v>0</v>
      </c>
      <c r="K596" t="str">
        <f t="shared" si="72"/>
        <v>31000</v>
      </c>
      <c r="L596" t="str">
        <f t="shared" si="75"/>
        <v>0</v>
      </c>
      <c r="M596" t="str">
        <f t="shared" si="75"/>
        <v>0</v>
      </c>
      <c r="N596" t="str">
        <f t="shared" si="75"/>
        <v>0</v>
      </c>
    </row>
    <row r="597" spans="1:14" x14ac:dyDescent="0.3">
      <c r="A597" t="s">
        <v>17</v>
      </c>
      <c r="B597" t="s">
        <v>18</v>
      </c>
      <c r="C597" t="str">
        <f t="shared" si="74"/>
        <v>400</v>
      </c>
      <c r="D597" t="str">
        <f>"611213"</f>
        <v>611213</v>
      </c>
      <c r="E597" t="s">
        <v>19</v>
      </c>
      <c r="F597" t="s">
        <v>571</v>
      </c>
      <c r="G597">
        <v>250</v>
      </c>
      <c r="H597" t="str">
        <f>""</f>
        <v/>
      </c>
      <c r="I597">
        <v>72</v>
      </c>
      <c r="J597">
        <v>0</v>
      </c>
      <c r="K597" t="str">
        <f t="shared" si="72"/>
        <v>31000</v>
      </c>
      <c r="L597" t="str">
        <f t="shared" si="75"/>
        <v>0</v>
      </c>
      <c r="M597" t="str">
        <f t="shared" si="75"/>
        <v>0</v>
      </c>
      <c r="N597" t="str">
        <f t="shared" si="75"/>
        <v>0</v>
      </c>
    </row>
    <row r="598" spans="1:14" x14ac:dyDescent="0.3">
      <c r="A598" t="s">
        <v>17</v>
      </c>
      <c r="B598" t="s">
        <v>18</v>
      </c>
      <c r="C598" t="str">
        <f t="shared" si="74"/>
        <v>400</v>
      </c>
      <c r="D598" t="str">
        <f>"611215"</f>
        <v>611215</v>
      </c>
      <c r="E598" t="s">
        <v>19</v>
      </c>
      <c r="F598" t="s">
        <v>572</v>
      </c>
      <c r="G598">
        <v>250</v>
      </c>
      <c r="H598" t="str">
        <f>""</f>
        <v/>
      </c>
      <c r="I598">
        <v>60</v>
      </c>
      <c r="J598">
        <v>0</v>
      </c>
      <c r="K598" t="str">
        <f t="shared" si="72"/>
        <v>31000</v>
      </c>
      <c r="L598" t="str">
        <f t="shared" si="75"/>
        <v>0</v>
      </c>
      <c r="M598" t="str">
        <f t="shared" si="75"/>
        <v>0</v>
      </c>
      <c r="N598" t="str">
        <f t="shared" si="75"/>
        <v>0</v>
      </c>
    </row>
    <row r="599" spans="1:14" x14ac:dyDescent="0.3">
      <c r="A599" t="s">
        <v>17</v>
      </c>
      <c r="B599" t="s">
        <v>18</v>
      </c>
      <c r="C599" t="str">
        <f t="shared" si="74"/>
        <v>400</v>
      </c>
      <c r="D599" t="str">
        <f>"611220"</f>
        <v>611220</v>
      </c>
      <c r="E599" t="s">
        <v>19</v>
      </c>
      <c r="F599" t="s">
        <v>573</v>
      </c>
      <c r="G599">
        <v>250</v>
      </c>
      <c r="H599" t="str">
        <f>""</f>
        <v/>
      </c>
      <c r="I599">
        <v>5.5</v>
      </c>
      <c r="J599">
        <v>0</v>
      </c>
      <c r="K599" t="str">
        <f t="shared" si="72"/>
        <v>31000</v>
      </c>
      <c r="L599" t="str">
        <f t="shared" si="75"/>
        <v>0</v>
      </c>
      <c r="M599" t="str">
        <f t="shared" si="75"/>
        <v>0</v>
      </c>
      <c r="N599" t="str">
        <f t="shared" si="75"/>
        <v>0</v>
      </c>
    </row>
    <row r="600" spans="1:14" x14ac:dyDescent="0.3">
      <c r="A600" t="s">
        <v>17</v>
      </c>
      <c r="B600" t="s">
        <v>18</v>
      </c>
      <c r="C600" t="str">
        <f t="shared" si="74"/>
        <v>400</v>
      </c>
      <c r="D600" t="str">
        <f>"611221"</f>
        <v>611221</v>
      </c>
      <c r="E600" t="s">
        <v>19</v>
      </c>
      <c r="F600" t="s">
        <v>574</v>
      </c>
      <c r="G600">
        <v>250</v>
      </c>
      <c r="H600" t="str">
        <f>""</f>
        <v/>
      </c>
      <c r="I600">
        <v>12.75</v>
      </c>
      <c r="J600">
        <v>0</v>
      </c>
      <c r="K600" t="str">
        <f t="shared" si="72"/>
        <v>31000</v>
      </c>
      <c r="L600" t="str">
        <f t="shared" si="75"/>
        <v>0</v>
      </c>
      <c r="M600" t="str">
        <f t="shared" si="75"/>
        <v>0</v>
      </c>
      <c r="N600" t="str">
        <f t="shared" si="75"/>
        <v>0</v>
      </c>
    </row>
    <row r="601" spans="1:14" x14ac:dyDescent="0.3">
      <c r="A601" t="s">
        <v>17</v>
      </c>
      <c r="B601" t="s">
        <v>18</v>
      </c>
      <c r="C601" t="str">
        <f t="shared" si="74"/>
        <v>400</v>
      </c>
      <c r="D601" t="str">
        <f>"611223"</f>
        <v>611223</v>
      </c>
      <c r="E601" t="s">
        <v>19</v>
      </c>
      <c r="F601" t="s">
        <v>575</v>
      </c>
      <c r="G601">
        <v>250</v>
      </c>
      <c r="H601" t="str">
        <f>""</f>
        <v/>
      </c>
      <c r="I601">
        <v>5.95</v>
      </c>
      <c r="J601">
        <v>0</v>
      </c>
      <c r="K601" t="str">
        <f t="shared" si="72"/>
        <v>31000</v>
      </c>
      <c r="L601" t="str">
        <f t="shared" si="75"/>
        <v>0</v>
      </c>
      <c r="M601" t="str">
        <f t="shared" si="75"/>
        <v>0</v>
      </c>
      <c r="N601" t="str">
        <f t="shared" si="75"/>
        <v>0</v>
      </c>
    </row>
    <row r="602" spans="1:14" x14ac:dyDescent="0.3">
      <c r="A602" t="s">
        <v>17</v>
      </c>
      <c r="B602" t="s">
        <v>18</v>
      </c>
      <c r="C602" t="str">
        <f t="shared" si="74"/>
        <v>400</v>
      </c>
      <c r="D602" t="str">
        <f>"611224"</f>
        <v>611224</v>
      </c>
      <c r="E602" t="s">
        <v>19</v>
      </c>
      <c r="F602" t="s">
        <v>576</v>
      </c>
      <c r="G602">
        <v>250</v>
      </c>
      <c r="H602" t="str">
        <f>""</f>
        <v/>
      </c>
      <c r="I602">
        <v>5.95</v>
      </c>
      <c r="J602">
        <v>0</v>
      </c>
      <c r="K602" t="str">
        <f t="shared" si="72"/>
        <v>31000</v>
      </c>
      <c r="L602" t="str">
        <f t="shared" si="75"/>
        <v>0</v>
      </c>
      <c r="M602" t="str">
        <f t="shared" si="75"/>
        <v>0</v>
      </c>
      <c r="N602" t="str">
        <f t="shared" si="75"/>
        <v>0</v>
      </c>
    </row>
    <row r="603" spans="1:14" x14ac:dyDescent="0.3">
      <c r="A603" t="s">
        <v>17</v>
      </c>
      <c r="B603" t="s">
        <v>18</v>
      </c>
      <c r="C603" t="str">
        <f t="shared" si="74"/>
        <v>400</v>
      </c>
      <c r="D603" t="str">
        <f>"611226"</f>
        <v>611226</v>
      </c>
      <c r="E603" t="s">
        <v>19</v>
      </c>
      <c r="F603" t="s">
        <v>577</v>
      </c>
      <c r="G603">
        <v>250</v>
      </c>
      <c r="I603">
        <v>4.5</v>
      </c>
      <c r="J603">
        <v>0</v>
      </c>
      <c r="K603" t="str">
        <f t="shared" si="72"/>
        <v>31000</v>
      </c>
      <c r="L603" t="str">
        <f t="shared" si="75"/>
        <v>0</v>
      </c>
      <c r="M603" t="str">
        <f t="shared" si="75"/>
        <v>0</v>
      </c>
      <c r="N603" t="str">
        <f t="shared" si="75"/>
        <v>0</v>
      </c>
    </row>
    <row r="604" spans="1:14" x14ac:dyDescent="0.3">
      <c r="A604" t="s">
        <v>17</v>
      </c>
      <c r="B604" t="s">
        <v>18</v>
      </c>
      <c r="C604" t="str">
        <f t="shared" si="74"/>
        <v>400</v>
      </c>
      <c r="D604" t="str">
        <f>"611227"</f>
        <v>611227</v>
      </c>
      <c r="E604" t="s">
        <v>19</v>
      </c>
      <c r="F604" t="s">
        <v>578</v>
      </c>
      <c r="G604">
        <v>250</v>
      </c>
      <c r="I604">
        <v>1.5</v>
      </c>
      <c r="J604">
        <v>0</v>
      </c>
      <c r="K604" t="str">
        <f t="shared" si="72"/>
        <v>31000</v>
      </c>
    </row>
    <row r="605" spans="1:14" x14ac:dyDescent="0.3">
      <c r="A605" t="s">
        <v>17</v>
      </c>
      <c r="B605" t="s">
        <v>18</v>
      </c>
      <c r="C605" t="str">
        <f t="shared" si="74"/>
        <v>400</v>
      </c>
      <c r="D605" t="str">
        <f>"611228"</f>
        <v>611228</v>
      </c>
      <c r="E605" t="s">
        <v>19</v>
      </c>
      <c r="F605" t="s">
        <v>579</v>
      </c>
      <c r="G605">
        <v>250</v>
      </c>
      <c r="H605" t="str">
        <f>""</f>
        <v/>
      </c>
      <c r="I605">
        <v>8.9</v>
      </c>
      <c r="J605">
        <v>0</v>
      </c>
      <c r="K605" t="str">
        <f t="shared" si="72"/>
        <v>31000</v>
      </c>
      <c r="L605" t="str">
        <f t="shared" ref="L605:N624" si="76">"0"</f>
        <v>0</v>
      </c>
      <c r="M605" t="str">
        <f t="shared" si="76"/>
        <v>0</v>
      </c>
      <c r="N605" t="str">
        <f t="shared" si="76"/>
        <v>0</v>
      </c>
    </row>
    <row r="606" spans="1:14" x14ac:dyDescent="0.3">
      <c r="A606" t="s">
        <v>17</v>
      </c>
      <c r="B606" t="s">
        <v>18</v>
      </c>
      <c r="C606" t="str">
        <f t="shared" si="74"/>
        <v>400</v>
      </c>
      <c r="D606" t="str">
        <f>"611229"</f>
        <v>611229</v>
      </c>
      <c r="E606" t="s">
        <v>19</v>
      </c>
      <c r="F606" t="s">
        <v>580</v>
      </c>
      <c r="G606">
        <v>250</v>
      </c>
      <c r="H606" t="str">
        <f>""</f>
        <v/>
      </c>
      <c r="I606">
        <v>6.95</v>
      </c>
      <c r="J606">
        <v>0</v>
      </c>
      <c r="K606" t="str">
        <f t="shared" si="72"/>
        <v>31000</v>
      </c>
      <c r="L606" t="str">
        <f t="shared" si="76"/>
        <v>0</v>
      </c>
      <c r="M606" t="str">
        <f t="shared" si="76"/>
        <v>0</v>
      </c>
      <c r="N606" t="str">
        <f t="shared" si="76"/>
        <v>0</v>
      </c>
    </row>
    <row r="607" spans="1:14" x14ac:dyDescent="0.3">
      <c r="A607" t="s">
        <v>17</v>
      </c>
      <c r="B607" t="s">
        <v>18</v>
      </c>
      <c r="C607" t="str">
        <f t="shared" si="74"/>
        <v>400</v>
      </c>
      <c r="D607" t="str">
        <f>"611232"</f>
        <v>611232</v>
      </c>
      <c r="E607" t="s">
        <v>19</v>
      </c>
      <c r="F607" t="s">
        <v>581</v>
      </c>
      <c r="G607">
        <v>250</v>
      </c>
      <c r="H607" t="str">
        <f>""</f>
        <v/>
      </c>
      <c r="I607">
        <v>5</v>
      </c>
      <c r="J607">
        <v>0</v>
      </c>
      <c r="K607" t="str">
        <f t="shared" si="72"/>
        <v>31000</v>
      </c>
      <c r="L607" t="str">
        <f t="shared" si="76"/>
        <v>0</v>
      </c>
      <c r="M607" t="str">
        <f t="shared" si="76"/>
        <v>0</v>
      </c>
      <c r="N607" t="str">
        <f t="shared" si="76"/>
        <v>0</v>
      </c>
    </row>
    <row r="608" spans="1:14" x14ac:dyDescent="0.3">
      <c r="A608" t="s">
        <v>17</v>
      </c>
      <c r="B608" t="s">
        <v>18</v>
      </c>
      <c r="C608" t="str">
        <f t="shared" si="74"/>
        <v>400</v>
      </c>
      <c r="D608" t="str">
        <f>"611300"</f>
        <v>611300</v>
      </c>
      <c r="E608" t="s">
        <v>19</v>
      </c>
      <c r="F608" t="s">
        <v>582</v>
      </c>
      <c r="G608">
        <v>250</v>
      </c>
      <c r="H608" t="str">
        <f>""</f>
        <v/>
      </c>
      <c r="I608">
        <v>2.5</v>
      </c>
      <c r="J608">
        <v>0</v>
      </c>
      <c r="K608" t="str">
        <f t="shared" si="72"/>
        <v>31000</v>
      </c>
      <c r="L608" t="str">
        <f t="shared" si="76"/>
        <v>0</v>
      </c>
      <c r="M608" t="str">
        <f t="shared" si="76"/>
        <v>0</v>
      </c>
      <c r="N608" t="str">
        <f t="shared" si="76"/>
        <v>0</v>
      </c>
    </row>
    <row r="609" spans="1:14" x14ac:dyDescent="0.3">
      <c r="A609" t="s">
        <v>17</v>
      </c>
      <c r="B609" t="s">
        <v>18</v>
      </c>
      <c r="C609" t="str">
        <f t="shared" si="74"/>
        <v>400</v>
      </c>
      <c r="D609" t="str">
        <f>"611302"</f>
        <v>611302</v>
      </c>
      <c r="E609" t="s">
        <v>19</v>
      </c>
      <c r="F609" t="s">
        <v>583</v>
      </c>
      <c r="G609">
        <v>250</v>
      </c>
      <c r="H609" t="str">
        <f>""</f>
        <v/>
      </c>
      <c r="I609">
        <v>45</v>
      </c>
      <c r="J609">
        <v>0</v>
      </c>
      <c r="K609" t="str">
        <f t="shared" si="72"/>
        <v>31000</v>
      </c>
      <c r="L609" t="str">
        <f t="shared" si="76"/>
        <v>0</v>
      </c>
      <c r="M609" t="str">
        <f t="shared" si="76"/>
        <v>0</v>
      </c>
      <c r="N609" t="str">
        <f t="shared" si="76"/>
        <v>0</v>
      </c>
    </row>
    <row r="610" spans="1:14" x14ac:dyDescent="0.3">
      <c r="A610" t="s">
        <v>17</v>
      </c>
      <c r="B610" t="s">
        <v>18</v>
      </c>
      <c r="C610" t="str">
        <f t="shared" si="74"/>
        <v>400</v>
      </c>
      <c r="D610" t="str">
        <f>"611303"</f>
        <v>611303</v>
      </c>
      <c r="E610" t="s">
        <v>19</v>
      </c>
      <c r="F610" t="s">
        <v>584</v>
      </c>
      <c r="G610">
        <v>250</v>
      </c>
      <c r="H610" t="str">
        <f>""</f>
        <v/>
      </c>
      <c r="I610">
        <v>25</v>
      </c>
      <c r="J610">
        <v>0</v>
      </c>
      <c r="K610" t="str">
        <f t="shared" si="72"/>
        <v>31000</v>
      </c>
      <c r="L610" t="str">
        <f t="shared" si="76"/>
        <v>0</v>
      </c>
      <c r="M610" t="str">
        <f t="shared" si="76"/>
        <v>0</v>
      </c>
      <c r="N610" t="str">
        <f t="shared" si="76"/>
        <v>0</v>
      </c>
    </row>
    <row r="611" spans="1:14" x14ac:dyDescent="0.3">
      <c r="A611" t="s">
        <v>17</v>
      </c>
      <c r="B611" t="s">
        <v>18</v>
      </c>
      <c r="C611" t="str">
        <f t="shared" si="74"/>
        <v>400</v>
      </c>
      <c r="D611" t="str">
        <f>"611331"</f>
        <v>611331</v>
      </c>
      <c r="E611" t="s">
        <v>19</v>
      </c>
      <c r="F611" t="s">
        <v>585</v>
      </c>
      <c r="G611">
        <v>250</v>
      </c>
      <c r="H611" t="str">
        <f>""</f>
        <v/>
      </c>
      <c r="I611">
        <v>6.5</v>
      </c>
      <c r="J611">
        <v>0</v>
      </c>
      <c r="K611" t="str">
        <f t="shared" si="72"/>
        <v>31000</v>
      </c>
      <c r="L611" t="str">
        <f t="shared" si="76"/>
        <v>0</v>
      </c>
      <c r="M611" t="str">
        <f t="shared" si="76"/>
        <v>0</v>
      </c>
      <c r="N611" t="str">
        <f t="shared" si="76"/>
        <v>0</v>
      </c>
    </row>
    <row r="612" spans="1:14" x14ac:dyDescent="0.3">
      <c r="A612" t="s">
        <v>17</v>
      </c>
      <c r="B612" t="s">
        <v>18</v>
      </c>
      <c r="C612" t="str">
        <f t="shared" si="74"/>
        <v>400</v>
      </c>
      <c r="D612" t="str">
        <f>"611332"</f>
        <v>611332</v>
      </c>
      <c r="E612" t="s">
        <v>19</v>
      </c>
      <c r="F612" t="s">
        <v>586</v>
      </c>
      <c r="G612">
        <v>250</v>
      </c>
      <c r="H612" t="str">
        <f>""</f>
        <v/>
      </c>
      <c r="I612">
        <v>9.15</v>
      </c>
      <c r="J612">
        <v>0</v>
      </c>
      <c r="K612" t="str">
        <f t="shared" si="72"/>
        <v>31000</v>
      </c>
      <c r="L612" t="str">
        <f t="shared" si="76"/>
        <v>0</v>
      </c>
      <c r="M612" t="str">
        <f t="shared" si="76"/>
        <v>0</v>
      </c>
      <c r="N612" t="str">
        <f t="shared" si="76"/>
        <v>0</v>
      </c>
    </row>
    <row r="613" spans="1:14" x14ac:dyDescent="0.3">
      <c r="A613" t="s">
        <v>17</v>
      </c>
      <c r="B613" t="s">
        <v>18</v>
      </c>
      <c r="C613" t="str">
        <f t="shared" si="74"/>
        <v>400</v>
      </c>
      <c r="D613" t="str">
        <f>"611333"</f>
        <v>611333</v>
      </c>
      <c r="E613" t="s">
        <v>19</v>
      </c>
      <c r="F613" t="s">
        <v>587</v>
      </c>
      <c r="G613">
        <v>250</v>
      </c>
      <c r="H613" t="str">
        <f>""</f>
        <v/>
      </c>
      <c r="I613">
        <v>6.75</v>
      </c>
      <c r="J613">
        <v>0</v>
      </c>
      <c r="K613" t="str">
        <f t="shared" si="72"/>
        <v>31000</v>
      </c>
      <c r="L613" t="str">
        <f t="shared" si="76"/>
        <v>0</v>
      </c>
      <c r="M613" t="str">
        <f t="shared" si="76"/>
        <v>0</v>
      </c>
      <c r="N613" t="str">
        <f t="shared" si="76"/>
        <v>0</v>
      </c>
    </row>
    <row r="614" spans="1:14" x14ac:dyDescent="0.3">
      <c r="A614" t="s">
        <v>17</v>
      </c>
      <c r="B614" t="s">
        <v>18</v>
      </c>
      <c r="C614" t="str">
        <f t="shared" si="74"/>
        <v>400</v>
      </c>
      <c r="D614" t="str">
        <f>"611334"</f>
        <v>611334</v>
      </c>
      <c r="E614" t="s">
        <v>19</v>
      </c>
      <c r="F614" t="s">
        <v>588</v>
      </c>
      <c r="G614">
        <v>250</v>
      </c>
      <c r="H614" t="str">
        <f>""</f>
        <v/>
      </c>
      <c r="I614">
        <v>9</v>
      </c>
      <c r="J614">
        <v>0</v>
      </c>
      <c r="K614" t="str">
        <f t="shared" si="72"/>
        <v>31000</v>
      </c>
      <c r="L614" t="str">
        <f t="shared" si="76"/>
        <v>0</v>
      </c>
      <c r="M614" t="str">
        <f t="shared" si="76"/>
        <v>0</v>
      </c>
      <c r="N614" t="str">
        <f t="shared" si="76"/>
        <v>0</v>
      </c>
    </row>
    <row r="615" spans="1:14" x14ac:dyDescent="0.3">
      <c r="A615" t="s">
        <v>17</v>
      </c>
      <c r="B615" t="s">
        <v>18</v>
      </c>
      <c r="C615" t="str">
        <f t="shared" si="74"/>
        <v>400</v>
      </c>
      <c r="D615" t="str">
        <f>"611336"</f>
        <v>611336</v>
      </c>
      <c r="E615" t="s">
        <v>19</v>
      </c>
      <c r="F615" t="s">
        <v>589</v>
      </c>
      <c r="G615">
        <v>250</v>
      </c>
      <c r="H615" t="str">
        <f>""</f>
        <v/>
      </c>
      <c r="I615">
        <v>115</v>
      </c>
      <c r="J615">
        <v>0</v>
      </c>
      <c r="K615" t="str">
        <f t="shared" si="72"/>
        <v>31000</v>
      </c>
      <c r="L615" t="str">
        <f t="shared" si="76"/>
        <v>0</v>
      </c>
      <c r="M615" t="str">
        <f t="shared" si="76"/>
        <v>0</v>
      </c>
      <c r="N615" t="str">
        <f t="shared" si="76"/>
        <v>0</v>
      </c>
    </row>
    <row r="616" spans="1:14" x14ac:dyDescent="0.3">
      <c r="A616" t="s">
        <v>17</v>
      </c>
      <c r="B616" t="s">
        <v>18</v>
      </c>
      <c r="C616" t="str">
        <f t="shared" si="74"/>
        <v>400</v>
      </c>
      <c r="D616" t="str">
        <f>"611337"</f>
        <v>611337</v>
      </c>
      <c r="E616" t="s">
        <v>19</v>
      </c>
      <c r="F616" t="s">
        <v>590</v>
      </c>
      <c r="G616">
        <v>250</v>
      </c>
      <c r="H616" t="str">
        <f>""</f>
        <v/>
      </c>
      <c r="I616">
        <v>1</v>
      </c>
      <c r="J616">
        <v>0</v>
      </c>
      <c r="K616" t="str">
        <f t="shared" si="72"/>
        <v>31000</v>
      </c>
      <c r="L616" t="str">
        <f t="shared" si="76"/>
        <v>0</v>
      </c>
      <c r="M616" t="str">
        <f t="shared" si="76"/>
        <v>0</v>
      </c>
      <c r="N616" t="str">
        <f t="shared" si="76"/>
        <v>0</v>
      </c>
    </row>
    <row r="617" spans="1:14" x14ac:dyDescent="0.3">
      <c r="A617" t="s">
        <v>17</v>
      </c>
      <c r="B617" t="s">
        <v>18</v>
      </c>
      <c r="C617" t="str">
        <f t="shared" si="74"/>
        <v>400</v>
      </c>
      <c r="D617" t="str">
        <f>"611339"</f>
        <v>611339</v>
      </c>
      <c r="E617" t="s">
        <v>19</v>
      </c>
      <c r="F617" t="s">
        <v>591</v>
      </c>
      <c r="G617">
        <v>250</v>
      </c>
      <c r="H617" t="str">
        <f>""</f>
        <v/>
      </c>
      <c r="I617">
        <v>21.87</v>
      </c>
      <c r="J617">
        <v>0</v>
      </c>
      <c r="K617" t="str">
        <f t="shared" si="72"/>
        <v>31000</v>
      </c>
      <c r="L617" t="str">
        <f t="shared" si="76"/>
        <v>0</v>
      </c>
      <c r="M617" t="str">
        <f t="shared" si="76"/>
        <v>0</v>
      </c>
      <c r="N617" t="str">
        <f t="shared" si="76"/>
        <v>0</v>
      </c>
    </row>
    <row r="618" spans="1:14" x14ac:dyDescent="0.3">
      <c r="A618" t="s">
        <v>17</v>
      </c>
      <c r="B618" t="s">
        <v>18</v>
      </c>
      <c r="C618" t="str">
        <f t="shared" si="74"/>
        <v>400</v>
      </c>
      <c r="D618" t="str">
        <f>"611346"</f>
        <v>611346</v>
      </c>
      <c r="E618" t="s">
        <v>19</v>
      </c>
      <c r="F618" t="s">
        <v>592</v>
      </c>
      <c r="G618">
        <v>250</v>
      </c>
      <c r="H618" t="str">
        <f>""</f>
        <v/>
      </c>
      <c r="I618">
        <v>50</v>
      </c>
      <c r="J618">
        <v>0</v>
      </c>
      <c r="K618" t="str">
        <f t="shared" si="72"/>
        <v>31000</v>
      </c>
      <c r="L618" t="str">
        <f t="shared" si="76"/>
        <v>0</v>
      </c>
      <c r="M618" t="str">
        <f t="shared" si="76"/>
        <v>0</v>
      </c>
      <c r="N618" t="str">
        <f t="shared" si="76"/>
        <v>0</v>
      </c>
    </row>
    <row r="619" spans="1:14" x14ac:dyDescent="0.3">
      <c r="A619" t="s">
        <v>17</v>
      </c>
      <c r="B619" t="s">
        <v>18</v>
      </c>
      <c r="C619" t="str">
        <f t="shared" si="74"/>
        <v>400</v>
      </c>
      <c r="D619" t="str">
        <f>"611376"</f>
        <v>611376</v>
      </c>
      <c r="E619" t="s">
        <v>19</v>
      </c>
      <c r="F619" t="s">
        <v>593</v>
      </c>
      <c r="G619">
        <v>250</v>
      </c>
      <c r="H619" t="str">
        <f>""</f>
        <v/>
      </c>
      <c r="I619">
        <v>4.6500000000000004</v>
      </c>
      <c r="J619">
        <v>0</v>
      </c>
      <c r="K619" t="str">
        <f t="shared" ref="K619:K682" si="77">"31000"</f>
        <v>31000</v>
      </c>
      <c r="L619" t="str">
        <f t="shared" si="76"/>
        <v>0</v>
      </c>
      <c r="M619" t="str">
        <f t="shared" si="76"/>
        <v>0</v>
      </c>
      <c r="N619" t="str">
        <f t="shared" si="76"/>
        <v>0</v>
      </c>
    </row>
    <row r="620" spans="1:14" x14ac:dyDescent="0.3">
      <c r="A620" t="s">
        <v>17</v>
      </c>
      <c r="B620" t="s">
        <v>18</v>
      </c>
      <c r="C620" t="str">
        <f t="shared" si="74"/>
        <v>400</v>
      </c>
      <c r="D620" t="str">
        <f>"611377"</f>
        <v>611377</v>
      </c>
      <c r="E620" t="s">
        <v>19</v>
      </c>
      <c r="F620" t="s">
        <v>593</v>
      </c>
      <c r="G620">
        <v>250</v>
      </c>
      <c r="H620" t="str">
        <f>""</f>
        <v/>
      </c>
      <c r="I620">
        <v>6.6</v>
      </c>
      <c r="J620">
        <v>0</v>
      </c>
      <c r="K620" t="str">
        <f t="shared" si="77"/>
        <v>31000</v>
      </c>
      <c r="L620" t="str">
        <f t="shared" si="76"/>
        <v>0</v>
      </c>
      <c r="M620" t="str">
        <f t="shared" si="76"/>
        <v>0</v>
      </c>
      <c r="N620" t="str">
        <f t="shared" si="76"/>
        <v>0</v>
      </c>
    </row>
    <row r="621" spans="1:14" x14ac:dyDescent="0.3">
      <c r="A621" t="s">
        <v>17</v>
      </c>
      <c r="B621" t="s">
        <v>18</v>
      </c>
      <c r="C621" t="str">
        <f t="shared" si="74"/>
        <v>400</v>
      </c>
      <c r="D621" t="str">
        <f>"611378"</f>
        <v>611378</v>
      </c>
      <c r="E621" t="s">
        <v>19</v>
      </c>
      <c r="F621" t="s">
        <v>594</v>
      </c>
      <c r="G621">
        <v>250</v>
      </c>
      <c r="H621" t="str">
        <f>""</f>
        <v/>
      </c>
      <c r="I621">
        <v>6.6</v>
      </c>
      <c r="J621">
        <v>0</v>
      </c>
      <c r="K621" t="str">
        <f t="shared" si="77"/>
        <v>31000</v>
      </c>
      <c r="L621" t="str">
        <f t="shared" si="76"/>
        <v>0</v>
      </c>
      <c r="M621" t="str">
        <f t="shared" si="76"/>
        <v>0</v>
      </c>
      <c r="N621" t="str">
        <f t="shared" si="76"/>
        <v>0</v>
      </c>
    </row>
    <row r="622" spans="1:14" x14ac:dyDescent="0.3">
      <c r="A622" t="s">
        <v>17</v>
      </c>
      <c r="B622" t="s">
        <v>18</v>
      </c>
      <c r="C622" t="str">
        <f t="shared" si="74"/>
        <v>400</v>
      </c>
      <c r="D622" t="str">
        <f>"611379"</f>
        <v>611379</v>
      </c>
      <c r="E622" t="s">
        <v>19</v>
      </c>
      <c r="F622" t="s">
        <v>595</v>
      </c>
      <c r="G622">
        <v>250</v>
      </c>
      <c r="H622" t="str">
        <f>""</f>
        <v/>
      </c>
      <c r="I622">
        <v>6.6</v>
      </c>
      <c r="J622">
        <v>0</v>
      </c>
      <c r="K622" t="str">
        <f t="shared" si="77"/>
        <v>31000</v>
      </c>
      <c r="L622" t="str">
        <f t="shared" si="76"/>
        <v>0</v>
      </c>
      <c r="M622" t="str">
        <f t="shared" si="76"/>
        <v>0</v>
      </c>
      <c r="N622" t="str">
        <f t="shared" si="76"/>
        <v>0</v>
      </c>
    </row>
    <row r="623" spans="1:14" x14ac:dyDescent="0.3">
      <c r="A623" t="s">
        <v>17</v>
      </c>
      <c r="B623" t="s">
        <v>18</v>
      </c>
      <c r="C623" t="str">
        <f t="shared" si="74"/>
        <v>400</v>
      </c>
      <c r="D623" t="str">
        <f>"611390"</f>
        <v>611390</v>
      </c>
      <c r="E623" t="s">
        <v>19</v>
      </c>
      <c r="F623" t="s">
        <v>596</v>
      </c>
      <c r="G623">
        <v>250</v>
      </c>
      <c r="H623" t="str">
        <f>""</f>
        <v/>
      </c>
      <c r="I623">
        <v>5.5</v>
      </c>
      <c r="J623">
        <v>0</v>
      </c>
      <c r="K623" t="str">
        <f t="shared" si="77"/>
        <v>31000</v>
      </c>
      <c r="L623" t="str">
        <f t="shared" si="76"/>
        <v>0</v>
      </c>
      <c r="M623" t="str">
        <f t="shared" si="76"/>
        <v>0</v>
      </c>
      <c r="N623" t="str">
        <f t="shared" si="76"/>
        <v>0</v>
      </c>
    </row>
    <row r="624" spans="1:14" x14ac:dyDescent="0.3">
      <c r="A624" t="s">
        <v>17</v>
      </c>
      <c r="B624" t="s">
        <v>18</v>
      </c>
      <c r="C624" t="str">
        <f t="shared" si="74"/>
        <v>400</v>
      </c>
      <c r="D624" t="str">
        <f>"611400"</f>
        <v>611400</v>
      </c>
      <c r="E624" t="s">
        <v>19</v>
      </c>
      <c r="F624" t="s">
        <v>597</v>
      </c>
      <c r="G624">
        <v>250</v>
      </c>
      <c r="H624" t="str">
        <f>""</f>
        <v/>
      </c>
      <c r="I624">
        <v>4.5</v>
      </c>
      <c r="J624">
        <v>0</v>
      </c>
      <c r="K624" t="str">
        <f t="shared" si="77"/>
        <v>31000</v>
      </c>
      <c r="L624" t="str">
        <f t="shared" si="76"/>
        <v>0</v>
      </c>
      <c r="M624" t="str">
        <f t="shared" si="76"/>
        <v>0</v>
      </c>
      <c r="N624" t="str">
        <f t="shared" si="76"/>
        <v>0</v>
      </c>
    </row>
    <row r="625" spans="1:14" x14ac:dyDescent="0.3">
      <c r="A625" t="s">
        <v>17</v>
      </c>
      <c r="B625" t="s">
        <v>18</v>
      </c>
      <c r="C625" t="str">
        <f t="shared" si="74"/>
        <v>400</v>
      </c>
      <c r="D625" t="str">
        <f>"611401"</f>
        <v>611401</v>
      </c>
      <c r="E625" t="s">
        <v>19</v>
      </c>
      <c r="F625" t="s">
        <v>598</v>
      </c>
      <c r="G625">
        <v>250</v>
      </c>
      <c r="H625" t="str">
        <f>""</f>
        <v/>
      </c>
      <c r="I625">
        <v>4.5</v>
      </c>
      <c r="J625">
        <v>0</v>
      </c>
      <c r="K625" t="str">
        <f t="shared" si="77"/>
        <v>31000</v>
      </c>
      <c r="L625" t="str">
        <f t="shared" ref="L625:N638" si="78">"0"</f>
        <v>0</v>
      </c>
      <c r="M625" t="str">
        <f t="shared" si="78"/>
        <v>0</v>
      </c>
      <c r="N625" t="str">
        <f t="shared" si="78"/>
        <v>0</v>
      </c>
    </row>
    <row r="626" spans="1:14" x14ac:dyDescent="0.3">
      <c r="A626" t="s">
        <v>17</v>
      </c>
      <c r="B626" t="s">
        <v>18</v>
      </c>
      <c r="C626" t="str">
        <f t="shared" si="74"/>
        <v>400</v>
      </c>
      <c r="D626" t="str">
        <f>"611404"</f>
        <v>611404</v>
      </c>
      <c r="E626" t="s">
        <v>19</v>
      </c>
      <c r="F626" t="s">
        <v>599</v>
      </c>
      <c r="G626">
        <v>250</v>
      </c>
      <c r="H626" t="str">
        <f>""</f>
        <v/>
      </c>
      <c r="I626">
        <v>12.75</v>
      </c>
      <c r="J626">
        <v>0</v>
      </c>
      <c r="K626" t="str">
        <f t="shared" si="77"/>
        <v>31000</v>
      </c>
      <c r="L626" t="str">
        <f t="shared" si="78"/>
        <v>0</v>
      </c>
      <c r="M626" t="str">
        <f t="shared" si="78"/>
        <v>0</v>
      </c>
      <c r="N626" t="str">
        <f t="shared" si="78"/>
        <v>0</v>
      </c>
    </row>
    <row r="627" spans="1:14" x14ac:dyDescent="0.3">
      <c r="A627" t="s">
        <v>17</v>
      </c>
      <c r="B627" t="s">
        <v>18</v>
      </c>
      <c r="C627" t="str">
        <f t="shared" si="74"/>
        <v>400</v>
      </c>
      <c r="D627" t="str">
        <f>"611406"</f>
        <v>611406</v>
      </c>
      <c r="E627" t="s">
        <v>19</v>
      </c>
      <c r="F627" t="s">
        <v>600</v>
      </c>
      <c r="G627">
        <v>250</v>
      </c>
      <c r="H627" t="str">
        <f>""</f>
        <v/>
      </c>
      <c r="I627">
        <v>12.75</v>
      </c>
      <c r="J627">
        <v>0</v>
      </c>
      <c r="K627" t="str">
        <f t="shared" si="77"/>
        <v>31000</v>
      </c>
      <c r="L627" t="str">
        <f t="shared" si="78"/>
        <v>0</v>
      </c>
      <c r="M627" t="str">
        <f t="shared" si="78"/>
        <v>0</v>
      </c>
      <c r="N627" t="str">
        <f t="shared" si="78"/>
        <v>0</v>
      </c>
    </row>
    <row r="628" spans="1:14" x14ac:dyDescent="0.3">
      <c r="A628" t="s">
        <v>17</v>
      </c>
      <c r="B628" t="s">
        <v>18</v>
      </c>
      <c r="C628" t="str">
        <f t="shared" si="74"/>
        <v>400</v>
      </c>
      <c r="D628" t="str">
        <f>"611407"</f>
        <v>611407</v>
      </c>
      <c r="E628" t="s">
        <v>19</v>
      </c>
      <c r="F628" t="s">
        <v>601</v>
      </c>
      <c r="G628">
        <v>250</v>
      </c>
      <c r="H628" t="str">
        <f>""</f>
        <v/>
      </c>
      <c r="I628">
        <v>4.5</v>
      </c>
      <c r="J628">
        <v>0</v>
      </c>
      <c r="K628" t="str">
        <f t="shared" si="77"/>
        <v>31000</v>
      </c>
      <c r="L628" t="str">
        <f t="shared" si="78"/>
        <v>0</v>
      </c>
      <c r="M628" t="str">
        <f t="shared" si="78"/>
        <v>0</v>
      </c>
      <c r="N628" t="str">
        <f t="shared" si="78"/>
        <v>0</v>
      </c>
    </row>
    <row r="629" spans="1:14" x14ac:dyDescent="0.3">
      <c r="A629" t="s">
        <v>17</v>
      </c>
      <c r="B629" t="s">
        <v>18</v>
      </c>
      <c r="C629" t="str">
        <f t="shared" si="74"/>
        <v>400</v>
      </c>
      <c r="D629" t="str">
        <f>"611426"</f>
        <v>611426</v>
      </c>
      <c r="E629" t="s">
        <v>19</v>
      </c>
      <c r="F629" t="s">
        <v>602</v>
      </c>
      <c r="G629">
        <v>250</v>
      </c>
      <c r="H629" t="str">
        <f>""</f>
        <v/>
      </c>
      <c r="I629">
        <v>5.99</v>
      </c>
      <c r="J629">
        <v>0</v>
      </c>
      <c r="K629" t="str">
        <f t="shared" si="77"/>
        <v>31000</v>
      </c>
      <c r="L629" t="str">
        <f t="shared" si="78"/>
        <v>0</v>
      </c>
      <c r="M629" t="str">
        <f t="shared" si="78"/>
        <v>0</v>
      </c>
      <c r="N629" t="str">
        <f t="shared" si="78"/>
        <v>0</v>
      </c>
    </row>
    <row r="630" spans="1:14" x14ac:dyDescent="0.3">
      <c r="A630" t="s">
        <v>17</v>
      </c>
      <c r="B630" t="s">
        <v>18</v>
      </c>
      <c r="C630" t="str">
        <f t="shared" si="74"/>
        <v>400</v>
      </c>
      <c r="D630" t="str">
        <f>"611428"</f>
        <v>611428</v>
      </c>
      <c r="E630" t="s">
        <v>19</v>
      </c>
      <c r="F630" t="s">
        <v>603</v>
      </c>
      <c r="G630">
        <v>250</v>
      </c>
      <c r="H630" t="str">
        <f>""</f>
        <v/>
      </c>
      <c r="I630">
        <v>25</v>
      </c>
      <c r="J630">
        <v>0</v>
      </c>
      <c r="K630" t="str">
        <f t="shared" si="77"/>
        <v>31000</v>
      </c>
      <c r="L630" t="str">
        <f t="shared" si="78"/>
        <v>0</v>
      </c>
      <c r="M630" t="str">
        <f t="shared" si="78"/>
        <v>0</v>
      </c>
      <c r="N630" t="str">
        <f t="shared" si="78"/>
        <v>0</v>
      </c>
    </row>
    <row r="631" spans="1:14" x14ac:dyDescent="0.3">
      <c r="A631" t="s">
        <v>17</v>
      </c>
      <c r="B631" t="s">
        <v>18</v>
      </c>
      <c r="C631" t="str">
        <f t="shared" si="74"/>
        <v>400</v>
      </c>
      <c r="D631" t="str">
        <f>"611438"</f>
        <v>611438</v>
      </c>
      <c r="E631" t="s">
        <v>19</v>
      </c>
      <c r="F631" t="s">
        <v>604</v>
      </c>
      <c r="G631">
        <v>250</v>
      </c>
      <c r="H631" t="str">
        <f>""</f>
        <v/>
      </c>
      <c r="I631">
        <v>12.75</v>
      </c>
      <c r="J631">
        <v>0</v>
      </c>
      <c r="K631" t="str">
        <f t="shared" si="77"/>
        <v>31000</v>
      </c>
      <c r="L631" t="str">
        <f t="shared" si="78"/>
        <v>0</v>
      </c>
      <c r="M631" t="str">
        <f t="shared" si="78"/>
        <v>0</v>
      </c>
      <c r="N631" t="str">
        <f t="shared" si="78"/>
        <v>0</v>
      </c>
    </row>
    <row r="632" spans="1:14" x14ac:dyDescent="0.3">
      <c r="A632" t="s">
        <v>17</v>
      </c>
      <c r="B632" t="s">
        <v>18</v>
      </c>
      <c r="C632" t="str">
        <f t="shared" si="74"/>
        <v>400</v>
      </c>
      <c r="D632" t="str">
        <f>"611442"</f>
        <v>611442</v>
      </c>
      <c r="E632" t="s">
        <v>19</v>
      </c>
      <c r="F632" t="s">
        <v>605</v>
      </c>
      <c r="G632">
        <v>250</v>
      </c>
      <c r="H632" t="str">
        <f>""</f>
        <v/>
      </c>
      <c r="I632">
        <v>5.5</v>
      </c>
      <c r="J632">
        <v>0</v>
      </c>
      <c r="K632" t="str">
        <f t="shared" si="77"/>
        <v>31000</v>
      </c>
      <c r="L632" t="str">
        <f t="shared" si="78"/>
        <v>0</v>
      </c>
      <c r="M632" t="str">
        <f t="shared" si="78"/>
        <v>0</v>
      </c>
      <c r="N632" t="str">
        <f t="shared" si="78"/>
        <v>0</v>
      </c>
    </row>
    <row r="633" spans="1:14" x14ac:dyDescent="0.3">
      <c r="A633" t="s">
        <v>17</v>
      </c>
      <c r="B633" t="s">
        <v>18</v>
      </c>
      <c r="C633" t="str">
        <f t="shared" si="74"/>
        <v>400</v>
      </c>
      <c r="D633" t="str">
        <f>"611443"</f>
        <v>611443</v>
      </c>
      <c r="E633" t="s">
        <v>19</v>
      </c>
      <c r="F633" t="s">
        <v>606</v>
      </c>
      <c r="G633">
        <v>250</v>
      </c>
      <c r="H633" t="str">
        <f>""</f>
        <v/>
      </c>
      <c r="I633">
        <v>83.22</v>
      </c>
      <c r="J633">
        <v>0</v>
      </c>
      <c r="K633" t="str">
        <f t="shared" si="77"/>
        <v>31000</v>
      </c>
      <c r="L633" t="str">
        <f t="shared" si="78"/>
        <v>0</v>
      </c>
      <c r="M633" t="str">
        <f t="shared" si="78"/>
        <v>0</v>
      </c>
      <c r="N633" t="str">
        <f t="shared" si="78"/>
        <v>0</v>
      </c>
    </row>
    <row r="634" spans="1:14" x14ac:dyDescent="0.3">
      <c r="A634" t="s">
        <v>17</v>
      </c>
      <c r="B634" t="s">
        <v>18</v>
      </c>
      <c r="C634" t="str">
        <f t="shared" si="74"/>
        <v>400</v>
      </c>
      <c r="D634" t="str">
        <f>"611444"</f>
        <v>611444</v>
      </c>
      <c r="E634" t="s">
        <v>19</v>
      </c>
      <c r="F634" t="s">
        <v>607</v>
      </c>
      <c r="G634">
        <v>250</v>
      </c>
      <c r="H634" t="str">
        <f>""</f>
        <v/>
      </c>
      <c r="I634">
        <v>120</v>
      </c>
      <c r="J634">
        <v>0</v>
      </c>
      <c r="K634" t="str">
        <f t="shared" si="77"/>
        <v>31000</v>
      </c>
      <c r="L634" t="str">
        <f t="shared" si="78"/>
        <v>0</v>
      </c>
      <c r="M634" t="str">
        <f t="shared" si="78"/>
        <v>0</v>
      </c>
      <c r="N634" t="str">
        <f t="shared" si="78"/>
        <v>0</v>
      </c>
    </row>
    <row r="635" spans="1:14" x14ac:dyDescent="0.3">
      <c r="A635" t="s">
        <v>17</v>
      </c>
      <c r="B635" t="s">
        <v>18</v>
      </c>
      <c r="C635" t="str">
        <f t="shared" si="74"/>
        <v>400</v>
      </c>
      <c r="D635" t="str">
        <f>"611501"</f>
        <v>611501</v>
      </c>
      <c r="E635" t="s">
        <v>19</v>
      </c>
      <c r="F635" t="s">
        <v>608</v>
      </c>
      <c r="G635">
        <v>250</v>
      </c>
      <c r="H635" t="str">
        <f>""</f>
        <v/>
      </c>
      <c r="I635">
        <v>124.95</v>
      </c>
      <c r="J635">
        <v>0</v>
      </c>
      <c r="K635" t="str">
        <f t="shared" si="77"/>
        <v>31000</v>
      </c>
      <c r="L635" t="str">
        <f t="shared" si="78"/>
        <v>0</v>
      </c>
      <c r="M635" t="str">
        <f t="shared" si="78"/>
        <v>0</v>
      </c>
      <c r="N635" t="str">
        <f t="shared" si="78"/>
        <v>0</v>
      </c>
    </row>
    <row r="636" spans="1:14" x14ac:dyDescent="0.3">
      <c r="A636" t="s">
        <v>17</v>
      </c>
      <c r="B636" t="s">
        <v>18</v>
      </c>
      <c r="C636" t="str">
        <f t="shared" si="74"/>
        <v>400</v>
      </c>
      <c r="D636" t="str">
        <f>"611502"</f>
        <v>611502</v>
      </c>
      <c r="E636" t="s">
        <v>19</v>
      </c>
      <c r="F636" t="s">
        <v>609</v>
      </c>
      <c r="G636">
        <v>250</v>
      </c>
      <c r="H636" t="str">
        <f>""</f>
        <v/>
      </c>
      <c r="I636">
        <v>14.99</v>
      </c>
      <c r="J636">
        <v>0</v>
      </c>
      <c r="K636" t="str">
        <f t="shared" si="77"/>
        <v>31000</v>
      </c>
      <c r="L636" t="str">
        <f t="shared" si="78"/>
        <v>0</v>
      </c>
      <c r="M636" t="str">
        <f t="shared" si="78"/>
        <v>0</v>
      </c>
      <c r="N636" t="str">
        <f t="shared" si="78"/>
        <v>0</v>
      </c>
    </row>
    <row r="637" spans="1:14" x14ac:dyDescent="0.3">
      <c r="A637" t="s">
        <v>17</v>
      </c>
      <c r="B637" t="s">
        <v>18</v>
      </c>
      <c r="C637" t="str">
        <f t="shared" si="74"/>
        <v>400</v>
      </c>
      <c r="D637" t="str">
        <f>"611503"</f>
        <v>611503</v>
      </c>
      <c r="E637" t="s">
        <v>19</v>
      </c>
      <c r="F637" t="s">
        <v>610</v>
      </c>
      <c r="G637">
        <v>250</v>
      </c>
      <c r="H637" t="str">
        <f>""</f>
        <v/>
      </c>
      <c r="I637">
        <v>129.5</v>
      </c>
      <c r="J637">
        <v>0</v>
      </c>
      <c r="K637" t="str">
        <f t="shared" si="77"/>
        <v>31000</v>
      </c>
      <c r="L637" t="str">
        <f t="shared" si="78"/>
        <v>0</v>
      </c>
      <c r="M637" t="str">
        <f t="shared" si="78"/>
        <v>0</v>
      </c>
      <c r="N637" t="str">
        <f t="shared" si="78"/>
        <v>0</v>
      </c>
    </row>
    <row r="638" spans="1:14" x14ac:dyDescent="0.3">
      <c r="A638" t="s">
        <v>17</v>
      </c>
      <c r="B638" t="s">
        <v>18</v>
      </c>
      <c r="C638" t="str">
        <f t="shared" si="74"/>
        <v>400</v>
      </c>
      <c r="D638" t="str">
        <f>"611522"</f>
        <v>611522</v>
      </c>
      <c r="E638" t="s">
        <v>19</v>
      </c>
      <c r="F638" t="s">
        <v>611</v>
      </c>
      <c r="G638">
        <v>250</v>
      </c>
      <c r="H638" t="str">
        <f>""</f>
        <v/>
      </c>
      <c r="I638">
        <v>7.25</v>
      </c>
      <c r="J638">
        <v>0</v>
      </c>
      <c r="K638" t="str">
        <f t="shared" si="77"/>
        <v>31000</v>
      </c>
      <c r="L638" t="str">
        <f t="shared" si="78"/>
        <v>0</v>
      </c>
      <c r="M638" t="str">
        <f t="shared" si="78"/>
        <v>0</v>
      </c>
      <c r="N638" t="str">
        <f t="shared" si="78"/>
        <v>0</v>
      </c>
    </row>
    <row r="639" spans="1:14" x14ac:dyDescent="0.3">
      <c r="A639" t="s">
        <v>17</v>
      </c>
      <c r="B639" t="s">
        <v>18</v>
      </c>
      <c r="C639" t="str">
        <f t="shared" si="74"/>
        <v>400</v>
      </c>
      <c r="D639" t="str">
        <f>"611525"</f>
        <v>611525</v>
      </c>
      <c r="E639" t="s">
        <v>19</v>
      </c>
      <c r="F639" t="s">
        <v>612</v>
      </c>
      <c r="G639">
        <v>250</v>
      </c>
      <c r="I639">
        <v>2.5</v>
      </c>
      <c r="J639">
        <v>0</v>
      </c>
      <c r="K639" t="str">
        <f t="shared" si="77"/>
        <v>31000</v>
      </c>
    </row>
    <row r="640" spans="1:14" x14ac:dyDescent="0.3">
      <c r="A640" t="s">
        <v>17</v>
      </c>
      <c r="B640" t="s">
        <v>18</v>
      </c>
      <c r="C640" t="str">
        <f t="shared" si="74"/>
        <v>400</v>
      </c>
      <c r="D640" t="str">
        <f>"611559"</f>
        <v>611559</v>
      </c>
      <c r="E640" t="s">
        <v>19</v>
      </c>
      <c r="F640" t="s">
        <v>613</v>
      </c>
      <c r="G640">
        <v>250</v>
      </c>
      <c r="H640" t="str">
        <f>""</f>
        <v/>
      </c>
      <c r="I640">
        <v>5</v>
      </c>
      <c r="J640">
        <v>0</v>
      </c>
      <c r="K640" t="str">
        <f t="shared" si="77"/>
        <v>31000</v>
      </c>
      <c r="L640" t="str">
        <f t="shared" ref="L640:N661" si="79">"0"</f>
        <v>0</v>
      </c>
      <c r="M640" t="str">
        <f t="shared" si="79"/>
        <v>0</v>
      </c>
      <c r="N640" t="str">
        <f t="shared" si="79"/>
        <v>0</v>
      </c>
    </row>
    <row r="641" spans="1:14" x14ac:dyDescent="0.3">
      <c r="A641" t="s">
        <v>17</v>
      </c>
      <c r="B641" t="s">
        <v>18</v>
      </c>
      <c r="C641" t="str">
        <f t="shared" si="74"/>
        <v>400</v>
      </c>
      <c r="D641" t="str">
        <f>"611600"</f>
        <v>611600</v>
      </c>
      <c r="E641" t="s">
        <v>19</v>
      </c>
      <c r="F641" t="s">
        <v>614</v>
      </c>
      <c r="G641">
        <v>250</v>
      </c>
      <c r="H641" t="str">
        <f>""</f>
        <v/>
      </c>
      <c r="I641">
        <v>5.5</v>
      </c>
      <c r="J641">
        <v>0</v>
      </c>
      <c r="K641" t="str">
        <f t="shared" si="77"/>
        <v>31000</v>
      </c>
      <c r="L641" t="str">
        <f t="shared" si="79"/>
        <v>0</v>
      </c>
      <c r="M641" t="str">
        <f t="shared" si="79"/>
        <v>0</v>
      </c>
      <c r="N641" t="str">
        <f t="shared" si="79"/>
        <v>0</v>
      </c>
    </row>
    <row r="642" spans="1:14" x14ac:dyDescent="0.3">
      <c r="A642" t="s">
        <v>17</v>
      </c>
      <c r="B642" t="s">
        <v>18</v>
      </c>
      <c r="C642" t="str">
        <f t="shared" ref="C642:C705" si="80">"400"</f>
        <v>400</v>
      </c>
      <c r="D642" t="str">
        <f>"611601"</f>
        <v>611601</v>
      </c>
      <c r="E642" t="s">
        <v>19</v>
      </c>
      <c r="F642" t="s">
        <v>615</v>
      </c>
      <c r="G642">
        <v>250</v>
      </c>
      <c r="H642" t="str">
        <f>""</f>
        <v/>
      </c>
      <c r="I642">
        <v>2.5</v>
      </c>
      <c r="J642">
        <v>0</v>
      </c>
      <c r="K642" t="str">
        <f t="shared" si="77"/>
        <v>31000</v>
      </c>
      <c r="L642" t="str">
        <f t="shared" si="79"/>
        <v>0</v>
      </c>
      <c r="M642" t="str">
        <f t="shared" si="79"/>
        <v>0</v>
      </c>
      <c r="N642" t="str">
        <f t="shared" si="79"/>
        <v>0</v>
      </c>
    </row>
    <row r="643" spans="1:14" x14ac:dyDescent="0.3">
      <c r="A643" t="s">
        <v>17</v>
      </c>
      <c r="B643" t="s">
        <v>18</v>
      </c>
      <c r="C643" t="str">
        <f t="shared" si="80"/>
        <v>400</v>
      </c>
      <c r="D643" t="str">
        <f>"611603"</f>
        <v>611603</v>
      </c>
      <c r="E643" t="s">
        <v>19</v>
      </c>
      <c r="F643" t="s">
        <v>616</v>
      </c>
      <c r="G643">
        <v>250</v>
      </c>
      <c r="H643" t="str">
        <f>""</f>
        <v/>
      </c>
      <c r="I643">
        <v>19.89</v>
      </c>
      <c r="J643">
        <v>0</v>
      </c>
      <c r="K643" t="str">
        <f t="shared" si="77"/>
        <v>31000</v>
      </c>
      <c r="L643" t="str">
        <f t="shared" si="79"/>
        <v>0</v>
      </c>
      <c r="M643" t="str">
        <f t="shared" si="79"/>
        <v>0</v>
      </c>
      <c r="N643" t="str">
        <f t="shared" si="79"/>
        <v>0</v>
      </c>
    </row>
    <row r="644" spans="1:14" x14ac:dyDescent="0.3">
      <c r="A644" t="s">
        <v>17</v>
      </c>
      <c r="B644" t="s">
        <v>18</v>
      </c>
      <c r="C644" t="str">
        <f t="shared" si="80"/>
        <v>400</v>
      </c>
      <c r="D644" t="str">
        <f>"611604"</f>
        <v>611604</v>
      </c>
      <c r="E644" t="s">
        <v>19</v>
      </c>
      <c r="F644" t="s">
        <v>617</v>
      </c>
      <c r="G644">
        <v>250</v>
      </c>
      <c r="H644" t="str">
        <f>""</f>
        <v/>
      </c>
      <c r="I644">
        <v>13.68</v>
      </c>
      <c r="J644">
        <v>0</v>
      </c>
      <c r="K644" t="str">
        <f t="shared" si="77"/>
        <v>31000</v>
      </c>
      <c r="L644" t="str">
        <f t="shared" si="79"/>
        <v>0</v>
      </c>
      <c r="M644" t="str">
        <f t="shared" si="79"/>
        <v>0</v>
      </c>
      <c r="N644" t="str">
        <f t="shared" si="79"/>
        <v>0</v>
      </c>
    </row>
    <row r="645" spans="1:14" x14ac:dyDescent="0.3">
      <c r="A645" t="s">
        <v>17</v>
      </c>
      <c r="B645" t="s">
        <v>18</v>
      </c>
      <c r="C645" t="str">
        <f t="shared" si="80"/>
        <v>400</v>
      </c>
      <c r="D645" t="str">
        <f>"611606"</f>
        <v>611606</v>
      </c>
      <c r="E645" t="s">
        <v>19</v>
      </c>
      <c r="F645" t="s">
        <v>618</v>
      </c>
      <c r="G645">
        <v>250</v>
      </c>
      <c r="H645" t="str">
        <f>""</f>
        <v/>
      </c>
      <c r="I645">
        <v>6.5</v>
      </c>
      <c r="J645">
        <v>0</v>
      </c>
      <c r="K645" t="str">
        <f t="shared" si="77"/>
        <v>31000</v>
      </c>
      <c r="L645" t="str">
        <f t="shared" si="79"/>
        <v>0</v>
      </c>
      <c r="M645" t="str">
        <f t="shared" si="79"/>
        <v>0</v>
      </c>
      <c r="N645" t="str">
        <f t="shared" si="79"/>
        <v>0</v>
      </c>
    </row>
    <row r="646" spans="1:14" x14ac:dyDescent="0.3">
      <c r="A646" t="s">
        <v>17</v>
      </c>
      <c r="B646" t="s">
        <v>18</v>
      </c>
      <c r="C646" t="str">
        <f t="shared" si="80"/>
        <v>400</v>
      </c>
      <c r="D646" t="str">
        <f>"611607"</f>
        <v>611607</v>
      </c>
      <c r="E646" t="s">
        <v>19</v>
      </c>
      <c r="F646" t="s">
        <v>619</v>
      </c>
      <c r="G646">
        <v>250</v>
      </c>
      <c r="H646" t="str">
        <f>""</f>
        <v/>
      </c>
      <c r="I646">
        <v>95</v>
      </c>
      <c r="J646">
        <v>0</v>
      </c>
      <c r="K646" t="str">
        <f t="shared" si="77"/>
        <v>31000</v>
      </c>
      <c r="L646" t="str">
        <f t="shared" si="79"/>
        <v>0</v>
      </c>
      <c r="M646" t="str">
        <f t="shared" si="79"/>
        <v>0</v>
      </c>
      <c r="N646" t="str">
        <f t="shared" si="79"/>
        <v>0</v>
      </c>
    </row>
    <row r="647" spans="1:14" x14ac:dyDescent="0.3">
      <c r="A647" t="s">
        <v>17</v>
      </c>
      <c r="B647" t="s">
        <v>18</v>
      </c>
      <c r="C647" t="str">
        <f t="shared" si="80"/>
        <v>400</v>
      </c>
      <c r="D647" t="str">
        <f>"611608"</f>
        <v>611608</v>
      </c>
      <c r="E647" t="s">
        <v>19</v>
      </c>
      <c r="F647" t="s">
        <v>620</v>
      </c>
      <c r="G647">
        <v>250</v>
      </c>
      <c r="H647" t="str">
        <f>""</f>
        <v/>
      </c>
      <c r="I647">
        <v>45.2</v>
      </c>
      <c r="J647">
        <v>0</v>
      </c>
      <c r="K647" t="str">
        <f t="shared" si="77"/>
        <v>31000</v>
      </c>
      <c r="L647" t="str">
        <f t="shared" si="79"/>
        <v>0</v>
      </c>
      <c r="M647" t="str">
        <f t="shared" si="79"/>
        <v>0</v>
      </c>
      <c r="N647" t="str">
        <f t="shared" si="79"/>
        <v>0</v>
      </c>
    </row>
    <row r="648" spans="1:14" x14ac:dyDescent="0.3">
      <c r="A648" t="s">
        <v>17</v>
      </c>
      <c r="B648" t="s">
        <v>18</v>
      </c>
      <c r="C648" t="str">
        <f t="shared" si="80"/>
        <v>400</v>
      </c>
      <c r="D648" t="str">
        <f>"611610"</f>
        <v>611610</v>
      </c>
      <c r="E648" t="s">
        <v>19</v>
      </c>
      <c r="F648" t="s">
        <v>621</v>
      </c>
      <c r="G648">
        <v>250</v>
      </c>
      <c r="H648" t="str">
        <f>""</f>
        <v/>
      </c>
      <c r="I648">
        <v>18.72</v>
      </c>
      <c r="J648">
        <v>0</v>
      </c>
      <c r="K648" t="str">
        <f t="shared" si="77"/>
        <v>31000</v>
      </c>
      <c r="L648" t="str">
        <f t="shared" si="79"/>
        <v>0</v>
      </c>
      <c r="M648" t="str">
        <f t="shared" si="79"/>
        <v>0</v>
      </c>
      <c r="N648" t="str">
        <f t="shared" si="79"/>
        <v>0</v>
      </c>
    </row>
    <row r="649" spans="1:14" x14ac:dyDescent="0.3">
      <c r="A649" t="s">
        <v>17</v>
      </c>
      <c r="B649" t="s">
        <v>18</v>
      </c>
      <c r="C649" t="str">
        <f t="shared" si="80"/>
        <v>400</v>
      </c>
      <c r="D649" t="str">
        <f>"611611"</f>
        <v>611611</v>
      </c>
      <c r="E649" t="s">
        <v>19</v>
      </c>
      <c r="F649" t="s">
        <v>622</v>
      </c>
      <c r="G649">
        <v>250</v>
      </c>
      <c r="H649" t="str">
        <f>""</f>
        <v/>
      </c>
      <c r="I649">
        <v>41.19</v>
      </c>
      <c r="J649">
        <v>0</v>
      </c>
      <c r="K649" t="str">
        <f t="shared" si="77"/>
        <v>31000</v>
      </c>
      <c r="L649" t="str">
        <f t="shared" si="79"/>
        <v>0</v>
      </c>
      <c r="M649" t="str">
        <f t="shared" si="79"/>
        <v>0</v>
      </c>
      <c r="N649" t="str">
        <f t="shared" si="79"/>
        <v>0</v>
      </c>
    </row>
    <row r="650" spans="1:14" x14ac:dyDescent="0.3">
      <c r="A650" t="s">
        <v>17</v>
      </c>
      <c r="B650" t="s">
        <v>18</v>
      </c>
      <c r="C650" t="str">
        <f t="shared" si="80"/>
        <v>400</v>
      </c>
      <c r="D650" t="str">
        <f>"611618"</f>
        <v>611618</v>
      </c>
      <c r="E650" t="s">
        <v>19</v>
      </c>
      <c r="F650" t="s">
        <v>623</v>
      </c>
      <c r="G650">
        <v>250</v>
      </c>
      <c r="H650" t="str">
        <f>""</f>
        <v/>
      </c>
      <c r="I650">
        <v>39</v>
      </c>
      <c r="J650">
        <v>0</v>
      </c>
      <c r="K650" t="str">
        <f t="shared" si="77"/>
        <v>31000</v>
      </c>
      <c r="L650" t="str">
        <f t="shared" si="79"/>
        <v>0</v>
      </c>
      <c r="M650" t="str">
        <f t="shared" si="79"/>
        <v>0</v>
      </c>
      <c r="N650" t="str">
        <f t="shared" si="79"/>
        <v>0</v>
      </c>
    </row>
    <row r="651" spans="1:14" x14ac:dyDescent="0.3">
      <c r="A651" t="s">
        <v>17</v>
      </c>
      <c r="B651" t="s">
        <v>18</v>
      </c>
      <c r="C651" t="str">
        <f t="shared" si="80"/>
        <v>400</v>
      </c>
      <c r="D651" t="str">
        <f>"611622"</f>
        <v>611622</v>
      </c>
      <c r="E651" t="s">
        <v>19</v>
      </c>
      <c r="F651" t="s">
        <v>624</v>
      </c>
      <c r="G651">
        <v>250</v>
      </c>
      <c r="H651" t="str">
        <f>""</f>
        <v/>
      </c>
      <c r="I651">
        <v>66</v>
      </c>
      <c r="J651">
        <v>0</v>
      </c>
      <c r="K651" t="str">
        <f t="shared" si="77"/>
        <v>31000</v>
      </c>
      <c r="L651" t="str">
        <f t="shared" si="79"/>
        <v>0</v>
      </c>
      <c r="M651" t="str">
        <f t="shared" si="79"/>
        <v>0</v>
      </c>
      <c r="N651" t="str">
        <f t="shared" si="79"/>
        <v>0</v>
      </c>
    </row>
    <row r="652" spans="1:14" x14ac:dyDescent="0.3">
      <c r="A652" t="s">
        <v>17</v>
      </c>
      <c r="B652" t="s">
        <v>18</v>
      </c>
      <c r="C652" t="str">
        <f t="shared" si="80"/>
        <v>400</v>
      </c>
      <c r="D652" t="str">
        <f>"611625"</f>
        <v>611625</v>
      </c>
      <c r="E652" t="s">
        <v>19</v>
      </c>
      <c r="F652" t="s">
        <v>625</v>
      </c>
      <c r="G652">
        <v>250</v>
      </c>
      <c r="H652" t="str">
        <f>""</f>
        <v/>
      </c>
      <c r="I652">
        <v>4.5</v>
      </c>
      <c r="J652">
        <v>0</v>
      </c>
      <c r="K652" t="str">
        <f t="shared" si="77"/>
        <v>31000</v>
      </c>
      <c r="L652" t="str">
        <f t="shared" si="79"/>
        <v>0</v>
      </c>
      <c r="M652" t="str">
        <f t="shared" si="79"/>
        <v>0</v>
      </c>
      <c r="N652" t="str">
        <f t="shared" si="79"/>
        <v>0</v>
      </c>
    </row>
    <row r="653" spans="1:14" x14ac:dyDescent="0.3">
      <c r="A653" t="s">
        <v>17</v>
      </c>
      <c r="B653" t="s">
        <v>18</v>
      </c>
      <c r="C653" t="str">
        <f t="shared" si="80"/>
        <v>400</v>
      </c>
      <c r="D653" t="str">
        <f>"611628"</f>
        <v>611628</v>
      </c>
      <c r="E653" t="s">
        <v>19</v>
      </c>
      <c r="F653" t="s">
        <v>626</v>
      </c>
      <c r="G653">
        <v>250</v>
      </c>
      <c r="H653" t="str">
        <f>""</f>
        <v/>
      </c>
      <c r="I653">
        <v>4.5</v>
      </c>
      <c r="J653">
        <v>0</v>
      </c>
      <c r="K653" t="str">
        <f t="shared" si="77"/>
        <v>31000</v>
      </c>
      <c r="L653" t="str">
        <f t="shared" si="79"/>
        <v>0</v>
      </c>
      <c r="M653" t="str">
        <f t="shared" si="79"/>
        <v>0</v>
      </c>
      <c r="N653" t="str">
        <f t="shared" si="79"/>
        <v>0</v>
      </c>
    </row>
    <row r="654" spans="1:14" x14ac:dyDescent="0.3">
      <c r="A654" t="s">
        <v>17</v>
      </c>
      <c r="B654" t="s">
        <v>18</v>
      </c>
      <c r="C654" t="str">
        <f t="shared" si="80"/>
        <v>400</v>
      </c>
      <c r="D654" t="str">
        <f>"611630"</f>
        <v>611630</v>
      </c>
      <c r="E654" t="s">
        <v>19</v>
      </c>
      <c r="F654" t="s">
        <v>627</v>
      </c>
      <c r="G654">
        <v>250</v>
      </c>
      <c r="H654" t="str">
        <f>""</f>
        <v/>
      </c>
      <c r="I654">
        <v>316</v>
      </c>
      <c r="J654">
        <v>0</v>
      </c>
      <c r="K654" t="str">
        <f t="shared" si="77"/>
        <v>31000</v>
      </c>
      <c r="L654" t="str">
        <f t="shared" si="79"/>
        <v>0</v>
      </c>
      <c r="M654" t="str">
        <f t="shared" si="79"/>
        <v>0</v>
      </c>
      <c r="N654" t="str">
        <f t="shared" si="79"/>
        <v>0</v>
      </c>
    </row>
    <row r="655" spans="1:14" x14ac:dyDescent="0.3">
      <c r="A655" t="s">
        <v>17</v>
      </c>
      <c r="B655" t="s">
        <v>18</v>
      </c>
      <c r="C655" t="str">
        <f t="shared" si="80"/>
        <v>400</v>
      </c>
      <c r="D655" t="str">
        <f>"611651"</f>
        <v>611651</v>
      </c>
      <c r="E655" t="s">
        <v>19</v>
      </c>
      <c r="F655" t="s">
        <v>628</v>
      </c>
      <c r="G655">
        <v>250</v>
      </c>
      <c r="H655" t="str">
        <f>""</f>
        <v/>
      </c>
      <c r="I655">
        <v>6.6</v>
      </c>
      <c r="J655">
        <v>0</v>
      </c>
      <c r="K655" t="str">
        <f t="shared" si="77"/>
        <v>31000</v>
      </c>
      <c r="L655" t="str">
        <f t="shared" si="79"/>
        <v>0</v>
      </c>
      <c r="M655" t="str">
        <f t="shared" si="79"/>
        <v>0</v>
      </c>
      <c r="N655" t="str">
        <f t="shared" si="79"/>
        <v>0</v>
      </c>
    </row>
    <row r="656" spans="1:14" x14ac:dyDescent="0.3">
      <c r="A656" t="s">
        <v>17</v>
      </c>
      <c r="B656" t="s">
        <v>18</v>
      </c>
      <c r="C656" t="str">
        <f t="shared" si="80"/>
        <v>400</v>
      </c>
      <c r="D656" t="str">
        <f>"611800"</f>
        <v>611800</v>
      </c>
      <c r="E656" t="s">
        <v>19</v>
      </c>
      <c r="F656" t="s">
        <v>629</v>
      </c>
      <c r="G656">
        <v>250</v>
      </c>
      <c r="H656" t="str">
        <f>""</f>
        <v/>
      </c>
      <c r="I656">
        <v>5.3</v>
      </c>
      <c r="J656">
        <v>0</v>
      </c>
      <c r="K656" t="str">
        <f t="shared" si="77"/>
        <v>31000</v>
      </c>
      <c r="L656" t="str">
        <f t="shared" si="79"/>
        <v>0</v>
      </c>
      <c r="M656" t="str">
        <f t="shared" si="79"/>
        <v>0</v>
      </c>
      <c r="N656" t="str">
        <f t="shared" si="79"/>
        <v>0</v>
      </c>
    </row>
    <row r="657" spans="1:14" x14ac:dyDescent="0.3">
      <c r="A657" t="s">
        <v>17</v>
      </c>
      <c r="B657" t="s">
        <v>18</v>
      </c>
      <c r="C657" t="str">
        <f t="shared" si="80"/>
        <v>400</v>
      </c>
      <c r="D657" t="str">
        <f>"611801"</f>
        <v>611801</v>
      </c>
      <c r="E657" t="s">
        <v>19</v>
      </c>
      <c r="F657" t="s">
        <v>630</v>
      </c>
      <c r="G657">
        <v>250</v>
      </c>
      <c r="H657" t="str">
        <f>""</f>
        <v/>
      </c>
      <c r="I657">
        <v>5.3</v>
      </c>
      <c r="J657">
        <v>0</v>
      </c>
      <c r="K657" t="str">
        <f t="shared" si="77"/>
        <v>31000</v>
      </c>
      <c r="L657" t="str">
        <f t="shared" si="79"/>
        <v>0</v>
      </c>
      <c r="M657" t="str">
        <f t="shared" si="79"/>
        <v>0</v>
      </c>
      <c r="N657" t="str">
        <f t="shared" si="79"/>
        <v>0</v>
      </c>
    </row>
    <row r="658" spans="1:14" x14ac:dyDescent="0.3">
      <c r="A658" t="s">
        <v>17</v>
      </c>
      <c r="B658" t="s">
        <v>18</v>
      </c>
      <c r="C658" t="str">
        <f t="shared" si="80"/>
        <v>400</v>
      </c>
      <c r="D658" t="str">
        <f>"611802"</f>
        <v>611802</v>
      </c>
      <c r="E658" t="s">
        <v>19</v>
      </c>
      <c r="F658" t="s">
        <v>631</v>
      </c>
      <c r="G658">
        <v>250</v>
      </c>
      <c r="H658" t="str">
        <f>""</f>
        <v/>
      </c>
      <c r="I658">
        <v>6.3</v>
      </c>
      <c r="J658">
        <v>0</v>
      </c>
      <c r="K658" t="str">
        <f t="shared" si="77"/>
        <v>31000</v>
      </c>
      <c r="L658" t="str">
        <f t="shared" si="79"/>
        <v>0</v>
      </c>
      <c r="M658" t="str">
        <f t="shared" si="79"/>
        <v>0</v>
      </c>
      <c r="N658" t="str">
        <f t="shared" si="79"/>
        <v>0</v>
      </c>
    </row>
    <row r="659" spans="1:14" x14ac:dyDescent="0.3">
      <c r="A659" t="s">
        <v>17</v>
      </c>
      <c r="B659" t="s">
        <v>18</v>
      </c>
      <c r="C659" t="str">
        <f t="shared" si="80"/>
        <v>400</v>
      </c>
      <c r="D659" t="str">
        <f>"611803"</f>
        <v>611803</v>
      </c>
      <c r="E659" t="s">
        <v>19</v>
      </c>
      <c r="F659" t="s">
        <v>632</v>
      </c>
      <c r="G659">
        <v>250</v>
      </c>
      <c r="H659" t="str">
        <f>""</f>
        <v/>
      </c>
      <c r="I659">
        <v>30.8</v>
      </c>
      <c r="J659">
        <v>0</v>
      </c>
      <c r="K659" t="str">
        <f t="shared" si="77"/>
        <v>31000</v>
      </c>
      <c r="L659" t="str">
        <f t="shared" si="79"/>
        <v>0</v>
      </c>
      <c r="M659" t="str">
        <f t="shared" si="79"/>
        <v>0</v>
      </c>
      <c r="N659" t="str">
        <f t="shared" si="79"/>
        <v>0</v>
      </c>
    </row>
    <row r="660" spans="1:14" x14ac:dyDescent="0.3">
      <c r="A660" t="s">
        <v>17</v>
      </c>
      <c r="B660" t="s">
        <v>18</v>
      </c>
      <c r="C660" t="str">
        <f t="shared" si="80"/>
        <v>400</v>
      </c>
      <c r="D660" t="str">
        <f>"611804"</f>
        <v>611804</v>
      </c>
      <c r="E660" t="s">
        <v>19</v>
      </c>
      <c r="F660" t="s">
        <v>633</v>
      </c>
      <c r="G660">
        <v>250</v>
      </c>
      <c r="H660" t="str">
        <f>""</f>
        <v/>
      </c>
      <c r="I660">
        <v>5.3</v>
      </c>
      <c r="J660">
        <v>0</v>
      </c>
      <c r="K660" t="str">
        <f t="shared" si="77"/>
        <v>31000</v>
      </c>
      <c r="L660" t="str">
        <f t="shared" si="79"/>
        <v>0</v>
      </c>
      <c r="M660" t="str">
        <f t="shared" si="79"/>
        <v>0</v>
      </c>
      <c r="N660" t="str">
        <f t="shared" si="79"/>
        <v>0</v>
      </c>
    </row>
    <row r="661" spans="1:14" x14ac:dyDescent="0.3">
      <c r="A661" t="s">
        <v>17</v>
      </c>
      <c r="B661" t="s">
        <v>18</v>
      </c>
      <c r="C661" t="str">
        <f t="shared" si="80"/>
        <v>400</v>
      </c>
      <c r="D661" t="str">
        <f>"611805"</f>
        <v>611805</v>
      </c>
      <c r="E661" t="s">
        <v>19</v>
      </c>
      <c r="F661" t="s">
        <v>634</v>
      </c>
      <c r="G661">
        <v>250</v>
      </c>
      <c r="H661" t="str">
        <f>""</f>
        <v/>
      </c>
      <c r="I661">
        <v>5.3</v>
      </c>
      <c r="J661">
        <v>0</v>
      </c>
      <c r="K661" t="str">
        <f t="shared" si="77"/>
        <v>31000</v>
      </c>
      <c r="L661" t="str">
        <f t="shared" si="79"/>
        <v>0</v>
      </c>
      <c r="M661" t="str">
        <f t="shared" si="79"/>
        <v>0</v>
      </c>
      <c r="N661" t="str">
        <f t="shared" si="79"/>
        <v>0</v>
      </c>
    </row>
    <row r="662" spans="1:14" x14ac:dyDescent="0.3">
      <c r="A662" t="s">
        <v>17</v>
      </c>
      <c r="B662" t="s">
        <v>18</v>
      </c>
      <c r="C662" t="str">
        <f t="shared" si="80"/>
        <v>400</v>
      </c>
      <c r="D662" t="str">
        <f>"611810"</f>
        <v>611810</v>
      </c>
      <c r="E662" t="s">
        <v>19</v>
      </c>
      <c r="F662" t="s">
        <v>635</v>
      </c>
      <c r="G662">
        <v>250</v>
      </c>
      <c r="I662">
        <v>5.3</v>
      </c>
      <c r="J662">
        <v>0</v>
      </c>
      <c r="K662" t="str">
        <f t="shared" si="77"/>
        <v>31000</v>
      </c>
    </row>
    <row r="663" spans="1:14" x14ac:dyDescent="0.3">
      <c r="A663" t="s">
        <v>17</v>
      </c>
      <c r="B663" t="s">
        <v>18</v>
      </c>
      <c r="C663" t="str">
        <f t="shared" si="80"/>
        <v>400</v>
      </c>
      <c r="D663" t="str">
        <f>"611812"</f>
        <v>611812</v>
      </c>
      <c r="E663" t="s">
        <v>19</v>
      </c>
      <c r="F663" t="s">
        <v>636</v>
      </c>
      <c r="G663">
        <v>250</v>
      </c>
      <c r="H663" t="str">
        <f>""</f>
        <v/>
      </c>
      <c r="I663">
        <v>116</v>
      </c>
      <c r="J663">
        <v>0</v>
      </c>
      <c r="K663" t="str">
        <f t="shared" si="77"/>
        <v>31000</v>
      </c>
      <c r="L663" t="str">
        <f t="shared" ref="L663:N666" si="81">"0"</f>
        <v>0</v>
      </c>
      <c r="M663" t="str">
        <f t="shared" si="81"/>
        <v>0</v>
      </c>
      <c r="N663" t="str">
        <f t="shared" si="81"/>
        <v>0</v>
      </c>
    </row>
    <row r="664" spans="1:14" x14ac:dyDescent="0.3">
      <c r="A664" t="s">
        <v>17</v>
      </c>
      <c r="B664" t="s">
        <v>18</v>
      </c>
      <c r="C664" t="str">
        <f t="shared" si="80"/>
        <v>400</v>
      </c>
      <c r="D664" t="str">
        <f>"61183"</f>
        <v>61183</v>
      </c>
      <c r="E664" t="s">
        <v>19</v>
      </c>
      <c r="F664" t="s">
        <v>637</v>
      </c>
      <c r="G664">
        <v>250</v>
      </c>
      <c r="H664" t="str">
        <f>""</f>
        <v/>
      </c>
      <c r="I664">
        <v>16.38</v>
      </c>
      <c r="J664">
        <v>0</v>
      </c>
      <c r="K664" t="str">
        <f t="shared" si="77"/>
        <v>31000</v>
      </c>
      <c r="L664" t="str">
        <f t="shared" si="81"/>
        <v>0</v>
      </c>
      <c r="M664" t="str">
        <f t="shared" si="81"/>
        <v>0</v>
      </c>
      <c r="N664" t="str">
        <f t="shared" si="81"/>
        <v>0</v>
      </c>
    </row>
    <row r="665" spans="1:14" x14ac:dyDescent="0.3">
      <c r="A665" t="s">
        <v>17</v>
      </c>
      <c r="B665" t="s">
        <v>18</v>
      </c>
      <c r="C665" t="str">
        <f t="shared" si="80"/>
        <v>400</v>
      </c>
      <c r="D665" t="str">
        <f>"611850"</f>
        <v>611850</v>
      </c>
      <c r="E665" t="s">
        <v>19</v>
      </c>
      <c r="F665" t="s">
        <v>638</v>
      </c>
      <c r="G665">
        <v>250</v>
      </c>
      <c r="H665" t="str">
        <f>""</f>
        <v/>
      </c>
      <c r="I665">
        <v>15.36</v>
      </c>
      <c r="J665">
        <v>0</v>
      </c>
      <c r="K665" t="str">
        <f t="shared" si="77"/>
        <v>31000</v>
      </c>
      <c r="L665" t="str">
        <f t="shared" si="81"/>
        <v>0</v>
      </c>
      <c r="M665" t="str">
        <f t="shared" si="81"/>
        <v>0</v>
      </c>
      <c r="N665" t="str">
        <f t="shared" si="81"/>
        <v>0</v>
      </c>
    </row>
    <row r="666" spans="1:14" x14ac:dyDescent="0.3">
      <c r="A666" t="s">
        <v>17</v>
      </c>
      <c r="B666" t="s">
        <v>18</v>
      </c>
      <c r="C666" t="str">
        <f t="shared" si="80"/>
        <v>400</v>
      </c>
      <c r="D666" t="str">
        <f>"611851"</f>
        <v>611851</v>
      </c>
      <c r="E666" t="s">
        <v>19</v>
      </c>
      <c r="F666" t="s">
        <v>639</v>
      </c>
      <c r="G666">
        <v>250</v>
      </c>
      <c r="H666" t="str">
        <f>""</f>
        <v/>
      </c>
      <c r="I666">
        <v>12.59</v>
      </c>
      <c r="J666">
        <v>0</v>
      </c>
      <c r="K666" t="str">
        <f t="shared" si="77"/>
        <v>31000</v>
      </c>
      <c r="L666" t="str">
        <f t="shared" si="81"/>
        <v>0</v>
      </c>
      <c r="M666" t="str">
        <f t="shared" si="81"/>
        <v>0</v>
      </c>
      <c r="N666" t="str">
        <f t="shared" si="81"/>
        <v>0</v>
      </c>
    </row>
    <row r="667" spans="1:14" x14ac:dyDescent="0.3">
      <c r="A667" t="s">
        <v>17</v>
      </c>
      <c r="B667" t="s">
        <v>18</v>
      </c>
      <c r="C667" t="str">
        <f t="shared" si="80"/>
        <v>400</v>
      </c>
      <c r="D667" t="str">
        <f>"611855"</f>
        <v>611855</v>
      </c>
      <c r="E667" t="s">
        <v>19</v>
      </c>
      <c r="F667" t="s">
        <v>640</v>
      </c>
      <c r="G667">
        <v>250</v>
      </c>
      <c r="I667">
        <v>8.6</v>
      </c>
      <c r="J667">
        <v>0</v>
      </c>
      <c r="K667" t="str">
        <f t="shared" si="77"/>
        <v>31000</v>
      </c>
    </row>
    <row r="668" spans="1:14" x14ac:dyDescent="0.3">
      <c r="A668" t="s">
        <v>17</v>
      </c>
      <c r="B668" t="s">
        <v>18</v>
      </c>
      <c r="C668" t="str">
        <f t="shared" si="80"/>
        <v>400</v>
      </c>
      <c r="D668" t="str">
        <f>"611856"</f>
        <v>611856</v>
      </c>
      <c r="E668" t="s">
        <v>19</v>
      </c>
      <c r="F668" t="s">
        <v>641</v>
      </c>
      <c r="G668">
        <v>250</v>
      </c>
      <c r="H668" t="str">
        <f>""</f>
        <v/>
      </c>
      <c r="I668">
        <v>8.6</v>
      </c>
      <c r="J668">
        <v>0</v>
      </c>
      <c r="K668" t="str">
        <f t="shared" si="77"/>
        <v>31000</v>
      </c>
      <c r="L668" t="str">
        <f>"0"</f>
        <v>0</v>
      </c>
      <c r="M668" t="str">
        <f>"0"</f>
        <v>0</v>
      </c>
      <c r="N668" t="str">
        <f>"0"</f>
        <v>0</v>
      </c>
    </row>
    <row r="669" spans="1:14" x14ac:dyDescent="0.3">
      <c r="A669" t="s">
        <v>17</v>
      </c>
      <c r="B669" t="s">
        <v>18</v>
      </c>
      <c r="C669" t="str">
        <f t="shared" si="80"/>
        <v>400</v>
      </c>
      <c r="D669" t="str">
        <f>"611997"</f>
        <v>611997</v>
      </c>
      <c r="E669" t="s">
        <v>19</v>
      </c>
      <c r="F669" t="s">
        <v>642</v>
      </c>
      <c r="G669">
        <v>250</v>
      </c>
      <c r="I669">
        <v>59.99</v>
      </c>
      <c r="J669">
        <v>0</v>
      </c>
      <c r="K669" t="str">
        <f t="shared" si="77"/>
        <v>31000</v>
      </c>
    </row>
    <row r="670" spans="1:14" x14ac:dyDescent="0.3">
      <c r="A670" t="s">
        <v>17</v>
      </c>
      <c r="B670" t="s">
        <v>18</v>
      </c>
      <c r="C670" t="str">
        <f t="shared" si="80"/>
        <v>400</v>
      </c>
      <c r="D670" t="str">
        <f>"612000"</f>
        <v>612000</v>
      </c>
      <c r="E670" t="s">
        <v>19</v>
      </c>
      <c r="F670" t="s">
        <v>643</v>
      </c>
      <c r="G670">
        <v>250</v>
      </c>
      <c r="H670" t="str">
        <f>""</f>
        <v/>
      </c>
      <c r="I670">
        <v>4.5</v>
      </c>
      <c r="J670">
        <v>0</v>
      </c>
      <c r="K670" t="str">
        <f t="shared" si="77"/>
        <v>31000</v>
      </c>
      <c r="L670" t="str">
        <f t="shared" ref="L670:N689" si="82">"0"</f>
        <v>0</v>
      </c>
      <c r="M670" t="str">
        <f t="shared" si="82"/>
        <v>0</v>
      </c>
      <c r="N670" t="str">
        <f t="shared" si="82"/>
        <v>0</v>
      </c>
    </row>
    <row r="671" spans="1:14" x14ac:dyDescent="0.3">
      <c r="A671" t="s">
        <v>17</v>
      </c>
      <c r="B671" t="s">
        <v>18</v>
      </c>
      <c r="C671" t="str">
        <f t="shared" si="80"/>
        <v>400</v>
      </c>
      <c r="D671" t="str">
        <f>"612001"</f>
        <v>612001</v>
      </c>
      <c r="E671" t="s">
        <v>19</v>
      </c>
      <c r="F671" t="s">
        <v>644</v>
      </c>
      <c r="G671">
        <v>250</v>
      </c>
      <c r="H671" t="str">
        <f>""</f>
        <v/>
      </c>
      <c r="I671">
        <v>4.5</v>
      </c>
      <c r="J671">
        <v>0</v>
      </c>
      <c r="K671" t="str">
        <f t="shared" si="77"/>
        <v>31000</v>
      </c>
      <c r="L671" t="str">
        <f t="shared" si="82"/>
        <v>0</v>
      </c>
      <c r="M671" t="str">
        <f t="shared" si="82"/>
        <v>0</v>
      </c>
      <c r="N671" t="str">
        <f t="shared" si="82"/>
        <v>0</v>
      </c>
    </row>
    <row r="672" spans="1:14" x14ac:dyDescent="0.3">
      <c r="A672" t="s">
        <v>17</v>
      </c>
      <c r="B672" t="s">
        <v>18</v>
      </c>
      <c r="C672" t="str">
        <f t="shared" si="80"/>
        <v>400</v>
      </c>
      <c r="D672" t="str">
        <f>"612003"</f>
        <v>612003</v>
      </c>
      <c r="E672" t="s">
        <v>19</v>
      </c>
      <c r="F672" t="s">
        <v>645</v>
      </c>
      <c r="G672">
        <v>250</v>
      </c>
      <c r="H672" t="str">
        <f>""</f>
        <v/>
      </c>
      <c r="I672">
        <v>74</v>
      </c>
      <c r="J672">
        <v>0</v>
      </c>
      <c r="K672" t="str">
        <f t="shared" si="77"/>
        <v>31000</v>
      </c>
      <c r="L672" t="str">
        <f t="shared" si="82"/>
        <v>0</v>
      </c>
      <c r="M672" t="str">
        <f t="shared" si="82"/>
        <v>0</v>
      </c>
      <c r="N672" t="str">
        <f t="shared" si="82"/>
        <v>0</v>
      </c>
    </row>
    <row r="673" spans="1:14" x14ac:dyDescent="0.3">
      <c r="A673" t="s">
        <v>17</v>
      </c>
      <c r="B673" t="s">
        <v>18</v>
      </c>
      <c r="C673" t="str">
        <f t="shared" si="80"/>
        <v>400</v>
      </c>
      <c r="D673" t="str">
        <f>"612004"</f>
        <v>612004</v>
      </c>
      <c r="E673" t="s">
        <v>19</v>
      </c>
      <c r="F673" t="s">
        <v>646</v>
      </c>
      <c r="G673">
        <v>250</v>
      </c>
      <c r="H673" t="str">
        <f>""</f>
        <v/>
      </c>
      <c r="I673">
        <v>45</v>
      </c>
      <c r="J673">
        <v>0</v>
      </c>
      <c r="K673" t="str">
        <f t="shared" si="77"/>
        <v>31000</v>
      </c>
      <c r="L673" t="str">
        <f t="shared" si="82"/>
        <v>0</v>
      </c>
      <c r="M673" t="str">
        <f t="shared" si="82"/>
        <v>0</v>
      </c>
      <c r="N673" t="str">
        <f t="shared" si="82"/>
        <v>0</v>
      </c>
    </row>
    <row r="674" spans="1:14" x14ac:dyDescent="0.3">
      <c r="A674" t="s">
        <v>17</v>
      </c>
      <c r="B674" t="s">
        <v>18</v>
      </c>
      <c r="C674" t="str">
        <f t="shared" si="80"/>
        <v>400</v>
      </c>
      <c r="D674" t="str">
        <f>"612007"</f>
        <v>612007</v>
      </c>
      <c r="E674" t="s">
        <v>19</v>
      </c>
      <c r="F674" t="s">
        <v>647</v>
      </c>
      <c r="G674">
        <v>250</v>
      </c>
      <c r="H674" t="str">
        <f>""</f>
        <v/>
      </c>
      <c r="I674">
        <v>6.5</v>
      </c>
      <c r="J674">
        <v>0</v>
      </c>
      <c r="K674" t="str">
        <f t="shared" si="77"/>
        <v>31000</v>
      </c>
      <c r="L674" t="str">
        <f t="shared" si="82"/>
        <v>0</v>
      </c>
      <c r="M674" t="str">
        <f t="shared" si="82"/>
        <v>0</v>
      </c>
      <c r="N674" t="str">
        <f t="shared" si="82"/>
        <v>0</v>
      </c>
    </row>
    <row r="675" spans="1:14" x14ac:dyDescent="0.3">
      <c r="A675" t="s">
        <v>17</v>
      </c>
      <c r="B675" t="s">
        <v>18</v>
      </c>
      <c r="C675" t="str">
        <f t="shared" si="80"/>
        <v>400</v>
      </c>
      <c r="D675" t="str">
        <f>"612010"</f>
        <v>612010</v>
      </c>
      <c r="E675" t="s">
        <v>19</v>
      </c>
      <c r="F675" t="s">
        <v>648</v>
      </c>
      <c r="G675">
        <v>250</v>
      </c>
      <c r="H675" t="str">
        <f>""</f>
        <v/>
      </c>
      <c r="I675">
        <v>6.5</v>
      </c>
      <c r="J675">
        <v>0</v>
      </c>
      <c r="K675" t="str">
        <f t="shared" si="77"/>
        <v>31000</v>
      </c>
      <c r="L675" t="str">
        <f t="shared" si="82"/>
        <v>0</v>
      </c>
      <c r="M675" t="str">
        <f t="shared" si="82"/>
        <v>0</v>
      </c>
      <c r="N675" t="str">
        <f t="shared" si="82"/>
        <v>0</v>
      </c>
    </row>
    <row r="676" spans="1:14" x14ac:dyDescent="0.3">
      <c r="A676" t="s">
        <v>17</v>
      </c>
      <c r="B676" t="s">
        <v>18</v>
      </c>
      <c r="C676" t="str">
        <f t="shared" si="80"/>
        <v>400</v>
      </c>
      <c r="D676" t="str">
        <f>"612011"</f>
        <v>612011</v>
      </c>
      <c r="E676" t="s">
        <v>19</v>
      </c>
      <c r="F676" t="s">
        <v>649</v>
      </c>
      <c r="G676">
        <v>250</v>
      </c>
      <c r="H676" t="str">
        <f>""</f>
        <v/>
      </c>
      <c r="I676">
        <v>4.5</v>
      </c>
      <c r="J676">
        <v>0</v>
      </c>
      <c r="K676" t="str">
        <f t="shared" si="77"/>
        <v>31000</v>
      </c>
      <c r="L676" t="str">
        <f t="shared" si="82"/>
        <v>0</v>
      </c>
      <c r="M676" t="str">
        <f t="shared" si="82"/>
        <v>0</v>
      </c>
      <c r="N676" t="str">
        <f t="shared" si="82"/>
        <v>0</v>
      </c>
    </row>
    <row r="677" spans="1:14" x14ac:dyDescent="0.3">
      <c r="A677" t="s">
        <v>17</v>
      </c>
      <c r="B677" t="s">
        <v>18</v>
      </c>
      <c r="C677" t="str">
        <f t="shared" si="80"/>
        <v>400</v>
      </c>
      <c r="D677" t="str">
        <f>"612012"</f>
        <v>612012</v>
      </c>
      <c r="E677" t="s">
        <v>19</v>
      </c>
      <c r="F677" t="s">
        <v>650</v>
      </c>
      <c r="G677">
        <v>250</v>
      </c>
      <c r="H677" t="str">
        <f>""</f>
        <v/>
      </c>
      <c r="I677">
        <v>14.37</v>
      </c>
      <c r="J677">
        <v>0</v>
      </c>
      <c r="K677" t="str">
        <f t="shared" si="77"/>
        <v>31000</v>
      </c>
      <c r="L677" t="str">
        <f t="shared" si="82"/>
        <v>0</v>
      </c>
      <c r="M677" t="str">
        <f t="shared" si="82"/>
        <v>0</v>
      </c>
      <c r="N677" t="str">
        <f t="shared" si="82"/>
        <v>0</v>
      </c>
    </row>
    <row r="678" spans="1:14" x14ac:dyDescent="0.3">
      <c r="A678" t="s">
        <v>17</v>
      </c>
      <c r="B678" t="s">
        <v>18</v>
      </c>
      <c r="C678" t="str">
        <f t="shared" si="80"/>
        <v>400</v>
      </c>
      <c r="D678" t="str">
        <f>"612013"</f>
        <v>612013</v>
      </c>
      <c r="E678" t="s">
        <v>19</v>
      </c>
      <c r="F678" t="s">
        <v>651</v>
      </c>
      <c r="G678">
        <v>250</v>
      </c>
      <c r="H678" t="str">
        <f>""</f>
        <v/>
      </c>
      <c r="I678">
        <v>4.5</v>
      </c>
      <c r="J678">
        <v>0</v>
      </c>
      <c r="K678" t="str">
        <f t="shared" si="77"/>
        <v>31000</v>
      </c>
      <c r="L678" t="str">
        <f t="shared" si="82"/>
        <v>0</v>
      </c>
      <c r="M678" t="str">
        <f t="shared" si="82"/>
        <v>0</v>
      </c>
      <c r="N678" t="str">
        <f t="shared" si="82"/>
        <v>0</v>
      </c>
    </row>
    <row r="679" spans="1:14" x14ac:dyDescent="0.3">
      <c r="A679" t="s">
        <v>17</v>
      </c>
      <c r="B679" t="s">
        <v>18</v>
      </c>
      <c r="C679" t="str">
        <f t="shared" si="80"/>
        <v>400</v>
      </c>
      <c r="D679" t="str">
        <f>"612014"</f>
        <v>612014</v>
      </c>
      <c r="E679" t="s">
        <v>19</v>
      </c>
      <c r="F679" t="s">
        <v>652</v>
      </c>
      <c r="G679">
        <v>250</v>
      </c>
      <c r="H679" t="str">
        <f>""</f>
        <v/>
      </c>
      <c r="I679">
        <v>4.5</v>
      </c>
      <c r="J679">
        <v>0</v>
      </c>
      <c r="K679" t="str">
        <f t="shared" si="77"/>
        <v>31000</v>
      </c>
      <c r="L679" t="str">
        <f t="shared" si="82"/>
        <v>0</v>
      </c>
      <c r="M679" t="str">
        <f t="shared" si="82"/>
        <v>0</v>
      </c>
      <c r="N679" t="str">
        <f t="shared" si="82"/>
        <v>0</v>
      </c>
    </row>
    <row r="680" spans="1:14" x14ac:dyDescent="0.3">
      <c r="A680" t="s">
        <v>17</v>
      </c>
      <c r="B680" t="s">
        <v>18</v>
      </c>
      <c r="C680" t="str">
        <f t="shared" si="80"/>
        <v>400</v>
      </c>
      <c r="D680" t="str">
        <f>"612016"</f>
        <v>612016</v>
      </c>
      <c r="E680" t="s">
        <v>19</v>
      </c>
      <c r="F680" t="s">
        <v>653</v>
      </c>
      <c r="G680">
        <v>250</v>
      </c>
      <c r="H680" t="str">
        <f>""</f>
        <v/>
      </c>
      <c r="I680">
        <v>4.5</v>
      </c>
      <c r="J680">
        <v>0</v>
      </c>
      <c r="K680" t="str">
        <f t="shared" si="77"/>
        <v>31000</v>
      </c>
      <c r="L680" t="str">
        <f t="shared" si="82"/>
        <v>0</v>
      </c>
      <c r="M680" t="str">
        <f t="shared" si="82"/>
        <v>0</v>
      </c>
      <c r="N680" t="str">
        <f t="shared" si="82"/>
        <v>0</v>
      </c>
    </row>
    <row r="681" spans="1:14" x14ac:dyDescent="0.3">
      <c r="A681" t="s">
        <v>17</v>
      </c>
      <c r="B681" t="s">
        <v>18</v>
      </c>
      <c r="C681" t="str">
        <f t="shared" si="80"/>
        <v>400</v>
      </c>
      <c r="D681" t="str">
        <f>"612017"</f>
        <v>612017</v>
      </c>
      <c r="E681" t="s">
        <v>19</v>
      </c>
      <c r="F681" t="s">
        <v>654</v>
      </c>
      <c r="G681">
        <v>250</v>
      </c>
      <c r="H681" t="str">
        <f>""</f>
        <v/>
      </c>
      <c r="I681">
        <v>4.5</v>
      </c>
      <c r="J681">
        <v>0</v>
      </c>
      <c r="K681" t="str">
        <f t="shared" si="77"/>
        <v>31000</v>
      </c>
      <c r="L681" t="str">
        <f t="shared" si="82"/>
        <v>0</v>
      </c>
      <c r="M681" t="str">
        <f t="shared" si="82"/>
        <v>0</v>
      </c>
      <c r="N681" t="str">
        <f t="shared" si="82"/>
        <v>0</v>
      </c>
    </row>
    <row r="682" spans="1:14" x14ac:dyDescent="0.3">
      <c r="A682" t="s">
        <v>17</v>
      </c>
      <c r="B682" t="s">
        <v>18</v>
      </c>
      <c r="C682" t="str">
        <f t="shared" si="80"/>
        <v>400</v>
      </c>
      <c r="D682" t="str">
        <f>"612019"</f>
        <v>612019</v>
      </c>
      <c r="E682" t="s">
        <v>19</v>
      </c>
      <c r="F682" t="s">
        <v>655</v>
      </c>
      <c r="G682">
        <v>250</v>
      </c>
      <c r="H682" t="str">
        <f>""</f>
        <v/>
      </c>
      <c r="I682">
        <v>90</v>
      </c>
      <c r="J682">
        <v>0</v>
      </c>
      <c r="K682" t="str">
        <f t="shared" si="77"/>
        <v>31000</v>
      </c>
      <c r="L682" t="str">
        <f t="shared" si="82"/>
        <v>0</v>
      </c>
      <c r="M682" t="str">
        <f t="shared" si="82"/>
        <v>0</v>
      </c>
      <c r="N682" t="str">
        <f t="shared" si="82"/>
        <v>0</v>
      </c>
    </row>
    <row r="683" spans="1:14" x14ac:dyDescent="0.3">
      <c r="A683" t="s">
        <v>17</v>
      </c>
      <c r="B683" t="s">
        <v>18</v>
      </c>
      <c r="C683" t="str">
        <f t="shared" si="80"/>
        <v>400</v>
      </c>
      <c r="D683" t="str">
        <f>"612020"</f>
        <v>612020</v>
      </c>
      <c r="E683" t="s">
        <v>19</v>
      </c>
      <c r="F683" t="s">
        <v>656</v>
      </c>
      <c r="G683">
        <v>250</v>
      </c>
      <c r="H683" t="str">
        <f>""</f>
        <v/>
      </c>
      <c r="I683">
        <v>7.5</v>
      </c>
      <c r="J683">
        <v>0</v>
      </c>
      <c r="K683" t="str">
        <f t="shared" ref="K683:K746" si="83">"31000"</f>
        <v>31000</v>
      </c>
      <c r="L683" t="str">
        <f t="shared" si="82"/>
        <v>0</v>
      </c>
      <c r="M683" t="str">
        <f t="shared" si="82"/>
        <v>0</v>
      </c>
      <c r="N683" t="str">
        <f t="shared" si="82"/>
        <v>0</v>
      </c>
    </row>
    <row r="684" spans="1:14" x14ac:dyDescent="0.3">
      <c r="A684" t="s">
        <v>17</v>
      </c>
      <c r="B684" t="s">
        <v>18</v>
      </c>
      <c r="C684" t="str">
        <f t="shared" si="80"/>
        <v>400</v>
      </c>
      <c r="D684" t="str">
        <f>"612023"</f>
        <v>612023</v>
      </c>
      <c r="E684" t="s">
        <v>19</v>
      </c>
      <c r="F684" t="s">
        <v>657</v>
      </c>
      <c r="G684">
        <v>250</v>
      </c>
      <c r="H684" t="str">
        <f>""</f>
        <v/>
      </c>
      <c r="I684">
        <v>5.6</v>
      </c>
      <c r="J684">
        <v>0</v>
      </c>
      <c r="K684" t="str">
        <f t="shared" si="83"/>
        <v>31000</v>
      </c>
      <c r="L684" t="str">
        <f t="shared" si="82"/>
        <v>0</v>
      </c>
      <c r="M684" t="str">
        <f t="shared" si="82"/>
        <v>0</v>
      </c>
      <c r="N684" t="str">
        <f t="shared" si="82"/>
        <v>0</v>
      </c>
    </row>
    <row r="685" spans="1:14" x14ac:dyDescent="0.3">
      <c r="A685" t="s">
        <v>17</v>
      </c>
      <c r="B685" t="s">
        <v>18</v>
      </c>
      <c r="C685" t="str">
        <f t="shared" si="80"/>
        <v>400</v>
      </c>
      <c r="D685" t="str">
        <f>"612027"</f>
        <v>612027</v>
      </c>
      <c r="E685" t="s">
        <v>19</v>
      </c>
      <c r="F685" t="s">
        <v>658</v>
      </c>
      <c r="G685">
        <v>250</v>
      </c>
      <c r="H685" t="str">
        <f>""</f>
        <v/>
      </c>
      <c r="I685">
        <v>12.75</v>
      </c>
      <c r="J685">
        <v>0</v>
      </c>
      <c r="K685" t="str">
        <f t="shared" si="83"/>
        <v>31000</v>
      </c>
      <c r="L685" t="str">
        <f t="shared" si="82"/>
        <v>0</v>
      </c>
      <c r="M685" t="str">
        <f t="shared" si="82"/>
        <v>0</v>
      </c>
      <c r="N685" t="str">
        <f t="shared" si="82"/>
        <v>0</v>
      </c>
    </row>
    <row r="686" spans="1:14" x14ac:dyDescent="0.3">
      <c r="A686" t="s">
        <v>17</v>
      </c>
      <c r="B686" t="s">
        <v>18</v>
      </c>
      <c r="C686" t="str">
        <f t="shared" si="80"/>
        <v>400</v>
      </c>
      <c r="D686" t="str">
        <f>"612030"</f>
        <v>612030</v>
      </c>
      <c r="E686" t="s">
        <v>19</v>
      </c>
      <c r="F686" t="s">
        <v>659</v>
      </c>
      <c r="G686">
        <v>250</v>
      </c>
      <c r="H686" t="str">
        <f>""</f>
        <v/>
      </c>
      <c r="I686">
        <v>4.5</v>
      </c>
      <c r="J686">
        <v>0</v>
      </c>
      <c r="K686" t="str">
        <f t="shared" si="83"/>
        <v>31000</v>
      </c>
      <c r="L686" t="str">
        <f t="shared" si="82"/>
        <v>0</v>
      </c>
      <c r="M686" t="str">
        <f t="shared" si="82"/>
        <v>0</v>
      </c>
      <c r="N686" t="str">
        <f t="shared" si="82"/>
        <v>0</v>
      </c>
    </row>
    <row r="687" spans="1:14" x14ac:dyDescent="0.3">
      <c r="A687" t="s">
        <v>17</v>
      </c>
      <c r="B687" t="s">
        <v>18</v>
      </c>
      <c r="C687" t="str">
        <f t="shared" si="80"/>
        <v>400</v>
      </c>
      <c r="D687" t="str">
        <f>"612034"</f>
        <v>612034</v>
      </c>
      <c r="E687" t="s">
        <v>19</v>
      </c>
      <c r="F687" t="s">
        <v>660</v>
      </c>
      <c r="G687">
        <v>250</v>
      </c>
      <c r="H687" t="str">
        <f>""</f>
        <v/>
      </c>
      <c r="I687">
        <v>5</v>
      </c>
      <c r="J687">
        <v>0</v>
      </c>
      <c r="K687" t="str">
        <f t="shared" si="83"/>
        <v>31000</v>
      </c>
      <c r="L687" t="str">
        <f t="shared" si="82"/>
        <v>0</v>
      </c>
      <c r="M687" t="str">
        <f t="shared" si="82"/>
        <v>0</v>
      </c>
      <c r="N687" t="str">
        <f t="shared" si="82"/>
        <v>0</v>
      </c>
    </row>
    <row r="688" spans="1:14" x14ac:dyDescent="0.3">
      <c r="A688" t="s">
        <v>17</v>
      </c>
      <c r="B688" t="s">
        <v>18</v>
      </c>
      <c r="C688" t="str">
        <f t="shared" si="80"/>
        <v>400</v>
      </c>
      <c r="D688" t="str">
        <f>"612037"</f>
        <v>612037</v>
      </c>
      <c r="E688" t="s">
        <v>19</v>
      </c>
      <c r="F688" t="s">
        <v>661</v>
      </c>
      <c r="G688">
        <v>250</v>
      </c>
      <c r="H688" t="str">
        <f>""</f>
        <v/>
      </c>
      <c r="I688">
        <v>75</v>
      </c>
      <c r="J688">
        <v>0</v>
      </c>
      <c r="K688" t="str">
        <f t="shared" si="83"/>
        <v>31000</v>
      </c>
      <c r="L688" t="str">
        <f t="shared" si="82"/>
        <v>0</v>
      </c>
      <c r="M688" t="str">
        <f t="shared" si="82"/>
        <v>0</v>
      </c>
      <c r="N688" t="str">
        <f t="shared" si="82"/>
        <v>0</v>
      </c>
    </row>
    <row r="689" spans="1:14" x14ac:dyDescent="0.3">
      <c r="A689" t="s">
        <v>17</v>
      </c>
      <c r="B689" t="s">
        <v>18</v>
      </c>
      <c r="C689" t="str">
        <f t="shared" si="80"/>
        <v>400</v>
      </c>
      <c r="D689" t="str">
        <f>"612041"</f>
        <v>612041</v>
      </c>
      <c r="E689" t="s">
        <v>19</v>
      </c>
      <c r="F689" t="s">
        <v>662</v>
      </c>
      <c r="G689">
        <v>250</v>
      </c>
      <c r="H689" t="str">
        <f>""</f>
        <v/>
      </c>
      <c r="I689">
        <v>5.5</v>
      </c>
      <c r="J689">
        <v>0</v>
      </c>
      <c r="K689" t="str">
        <f t="shared" si="83"/>
        <v>31000</v>
      </c>
      <c r="L689" t="str">
        <f t="shared" si="82"/>
        <v>0</v>
      </c>
      <c r="M689" t="str">
        <f t="shared" si="82"/>
        <v>0</v>
      </c>
      <c r="N689" t="str">
        <f t="shared" si="82"/>
        <v>0</v>
      </c>
    </row>
    <row r="690" spans="1:14" x14ac:dyDescent="0.3">
      <c r="A690" t="s">
        <v>17</v>
      </c>
      <c r="B690" t="s">
        <v>18</v>
      </c>
      <c r="C690" t="str">
        <f t="shared" si="80"/>
        <v>400</v>
      </c>
      <c r="D690" t="str">
        <f>"612042"</f>
        <v>612042</v>
      </c>
      <c r="E690" t="s">
        <v>19</v>
      </c>
      <c r="F690" t="s">
        <v>663</v>
      </c>
      <c r="G690">
        <v>250</v>
      </c>
      <c r="H690" t="str">
        <f>""</f>
        <v/>
      </c>
      <c r="I690">
        <v>65</v>
      </c>
      <c r="J690">
        <v>0</v>
      </c>
      <c r="K690" t="str">
        <f t="shared" si="83"/>
        <v>31000</v>
      </c>
      <c r="L690" t="str">
        <f t="shared" ref="L690:N709" si="84">"0"</f>
        <v>0</v>
      </c>
      <c r="M690" t="str">
        <f t="shared" si="84"/>
        <v>0</v>
      </c>
      <c r="N690" t="str">
        <f t="shared" si="84"/>
        <v>0</v>
      </c>
    </row>
    <row r="691" spans="1:14" x14ac:dyDescent="0.3">
      <c r="A691" t="s">
        <v>17</v>
      </c>
      <c r="B691" t="s">
        <v>18</v>
      </c>
      <c r="C691" t="str">
        <f t="shared" si="80"/>
        <v>400</v>
      </c>
      <c r="D691" t="str">
        <f>"612048"</f>
        <v>612048</v>
      </c>
      <c r="E691" t="s">
        <v>19</v>
      </c>
      <c r="F691" t="s">
        <v>664</v>
      </c>
      <c r="G691">
        <v>250</v>
      </c>
      <c r="H691" t="str">
        <f>""</f>
        <v/>
      </c>
      <c r="I691">
        <v>4.5</v>
      </c>
      <c r="J691">
        <v>0</v>
      </c>
      <c r="K691" t="str">
        <f t="shared" si="83"/>
        <v>31000</v>
      </c>
      <c r="L691" t="str">
        <f t="shared" si="84"/>
        <v>0</v>
      </c>
      <c r="M691" t="str">
        <f t="shared" si="84"/>
        <v>0</v>
      </c>
      <c r="N691" t="str">
        <f t="shared" si="84"/>
        <v>0</v>
      </c>
    </row>
    <row r="692" spans="1:14" x14ac:dyDescent="0.3">
      <c r="A692" t="s">
        <v>17</v>
      </c>
      <c r="B692" t="s">
        <v>18</v>
      </c>
      <c r="C692" t="str">
        <f t="shared" si="80"/>
        <v>400</v>
      </c>
      <c r="D692" t="str">
        <f>"612051"</f>
        <v>612051</v>
      </c>
      <c r="E692" t="s">
        <v>19</v>
      </c>
      <c r="F692" t="s">
        <v>665</v>
      </c>
      <c r="G692">
        <v>250</v>
      </c>
      <c r="H692" t="str">
        <f>""</f>
        <v/>
      </c>
      <c r="I692">
        <v>26.8</v>
      </c>
      <c r="J692">
        <v>0</v>
      </c>
      <c r="K692" t="str">
        <f t="shared" si="83"/>
        <v>31000</v>
      </c>
      <c r="L692" t="str">
        <f t="shared" si="84"/>
        <v>0</v>
      </c>
      <c r="M692" t="str">
        <f t="shared" si="84"/>
        <v>0</v>
      </c>
      <c r="N692" t="str">
        <f t="shared" si="84"/>
        <v>0</v>
      </c>
    </row>
    <row r="693" spans="1:14" x14ac:dyDescent="0.3">
      <c r="A693" t="s">
        <v>17</v>
      </c>
      <c r="B693" t="s">
        <v>18</v>
      </c>
      <c r="C693" t="str">
        <f t="shared" si="80"/>
        <v>400</v>
      </c>
      <c r="D693" t="str">
        <f>"612052"</f>
        <v>612052</v>
      </c>
      <c r="E693" t="s">
        <v>19</v>
      </c>
      <c r="F693" t="s">
        <v>666</v>
      </c>
      <c r="G693">
        <v>250</v>
      </c>
      <c r="H693" t="str">
        <f>""</f>
        <v/>
      </c>
      <c r="I693">
        <v>198.36</v>
      </c>
      <c r="J693">
        <v>0</v>
      </c>
      <c r="K693" t="str">
        <f t="shared" si="83"/>
        <v>31000</v>
      </c>
      <c r="L693" t="str">
        <f t="shared" si="84"/>
        <v>0</v>
      </c>
      <c r="M693" t="str">
        <f t="shared" si="84"/>
        <v>0</v>
      </c>
      <c r="N693" t="str">
        <f t="shared" si="84"/>
        <v>0</v>
      </c>
    </row>
    <row r="694" spans="1:14" x14ac:dyDescent="0.3">
      <c r="A694" t="s">
        <v>17</v>
      </c>
      <c r="B694" t="s">
        <v>18</v>
      </c>
      <c r="C694" t="str">
        <f t="shared" si="80"/>
        <v>400</v>
      </c>
      <c r="D694" t="str">
        <f>"612058"</f>
        <v>612058</v>
      </c>
      <c r="E694" t="s">
        <v>19</v>
      </c>
      <c r="F694" t="s">
        <v>667</v>
      </c>
      <c r="G694">
        <v>250</v>
      </c>
      <c r="H694" t="str">
        <f>""</f>
        <v/>
      </c>
      <c r="I694">
        <v>28.74</v>
      </c>
      <c r="J694">
        <v>0</v>
      </c>
      <c r="K694" t="str">
        <f t="shared" si="83"/>
        <v>31000</v>
      </c>
      <c r="L694" t="str">
        <f t="shared" si="84"/>
        <v>0</v>
      </c>
      <c r="M694" t="str">
        <f t="shared" si="84"/>
        <v>0</v>
      </c>
      <c r="N694" t="str">
        <f t="shared" si="84"/>
        <v>0</v>
      </c>
    </row>
    <row r="695" spans="1:14" x14ac:dyDescent="0.3">
      <c r="A695" t="s">
        <v>17</v>
      </c>
      <c r="B695" t="s">
        <v>18</v>
      </c>
      <c r="C695" t="str">
        <f t="shared" si="80"/>
        <v>400</v>
      </c>
      <c r="D695" t="str">
        <f>"612067"</f>
        <v>612067</v>
      </c>
      <c r="E695" t="s">
        <v>19</v>
      </c>
      <c r="F695" t="s">
        <v>668</v>
      </c>
      <c r="G695">
        <v>250</v>
      </c>
      <c r="H695" t="str">
        <f>""</f>
        <v/>
      </c>
      <c r="I695">
        <v>4.5</v>
      </c>
      <c r="J695">
        <v>0</v>
      </c>
      <c r="K695" t="str">
        <f t="shared" si="83"/>
        <v>31000</v>
      </c>
      <c r="L695" t="str">
        <f t="shared" si="84"/>
        <v>0</v>
      </c>
      <c r="M695" t="str">
        <f t="shared" si="84"/>
        <v>0</v>
      </c>
      <c r="N695" t="str">
        <f t="shared" si="84"/>
        <v>0</v>
      </c>
    </row>
    <row r="696" spans="1:14" x14ac:dyDescent="0.3">
      <c r="A696" t="s">
        <v>17</v>
      </c>
      <c r="B696" t="s">
        <v>18</v>
      </c>
      <c r="C696" t="str">
        <f t="shared" si="80"/>
        <v>400</v>
      </c>
      <c r="D696" t="str">
        <f>"612079"</f>
        <v>612079</v>
      </c>
      <c r="E696" t="s">
        <v>19</v>
      </c>
      <c r="F696" t="s">
        <v>669</v>
      </c>
      <c r="G696">
        <v>250</v>
      </c>
      <c r="H696" t="str">
        <f>""</f>
        <v/>
      </c>
      <c r="I696">
        <v>2.5</v>
      </c>
      <c r="J696">
        <v>0</v>
      </c>
      <c r="K696" t="str">
        <f t="shared" si="83"/>
        <v>31000</v>
      </c>
      <c r="L696" t="str">
        <f t="shared" si="84"/>
        <v>0</v>
      </c>
      <c r="M696" t="str">
        <f t="shared" si="84"/>
        <v>0</v>
      </c>
      <c r="N696" t="str">
        <f t="shared" si="84"/>
        <v>0</v>
      </c>
    </row>
    <row r="697" spans="1:14" x14ac:dyDescent="0.3">
      <c r="A697" t="s">
        <v>17</v>
      </c>
      <c r="B697" t="s">
        <v>18</v>
      </c>
      <c r="C697" t="str">
        <f t="shared" si="80"/>
        <v>400</v>
      </c>
      <c r="D697" t="str">
        <f>"612080"</f>
        <v>612080</v>
      </c>
      <c r="E697" t="s">
        <v>19</v>
      </c>
      <c r="F697" t="s">
        <v>670</v>
      </c>
      <c r="G697">
        <v>250</v>
      </c>
      <c r="H697" t="str">
        <f>""</f>
        <v/>
      </c>
      <c r="I697">
        <v>6.99</v>
      </c>
      <c r="J697">
        <v>0</v>
      </c>
      <c r="K697" t="str">
        <f t="shared" si="83"/>
        <v>31000</v>
      </c>
      <c r="L697" t="str">
        <f t="shared" si="84"/>
        <v>0</v>
      </c>
      <c r="M697" t="str">
        <f t="shared" si="84"/>
        <v>0</v>
      </c>
      <c r="N697" t="str">
        <f t="shared" si="84"/>
        <v>0</v>
      </c>
    </row>
    <row r="698" spans="1:14" x14ac:dyDescent="0.3">
      <c r="A698" t="s">
        <v>17</v>
      </c>
      <c r="B698" t="s">
        <v>18</v>
      </c>
      <c r="C698" t="str">
        <f t="shared" si="80"/>
        <v>400</v>
      </c>
      <c r="D698" t="str">
        <f>"612082"</f>
        <v>612082</v>
      </c>
      <c r="E698" t="s">
        <v>19</v>
      </c>
      <c r="F698" t="s">
        <v>671</v>
      </c>
      <c r="G698">
        <v>250</v>
      </c>
      <c r="H698" t="str">
        <f>""</f>
        <v/>
      </c>
      <c r="I698">
        <v>27</v>
      </c>
      <c r="J698">
        <v>0</v>
      </c>
      <c r="K698" t="str">
        <f t="shared" si="83"/>
        <v>31000</v>
      </c>
      <c r="L698" t="str">
        <f t="shared" si="84"/>
        <v>0</v>
      </c>
      <c r="M698" t="str">
        <f t="shared" si="84"/>
        <v>0</v>
      </c>
      <c r="N698" t="str">
        <f t="shared" si="84"/>
        <v>0</v>
      </c>
    </row>
    <row r="699" spans="1:14" x14ac:dyDescent="0.3">
      <c r="A699" t="s">
        <v>17</v>
      </c>
      <c r="B699" t="s">
        <v>18</v>
      </c>
      <c r="C699" t="str">
        <f t="shared" si="80"/>
        <v>400</v>
      </c>
      <c r="D699" t="str">
        <f>"612083"</f>
        <v>612083</v>
      </c>
      <c r="E699" t="s">
        <v>19</v>
      </c>
      <c r="F699" t="s">
        <v>672</v>
      </c>
      <c r="G699">
        <v>250</v>
      </c>
      <c r="H699" t="str">
        <f>""</f>
        <v/>
      </c>
      <c r="I699">
        <v>2.5</v>
      </c>
      <c r="J699">
        <v>0</v>
      </c>
      <c r="K699" t="str">
        <f t="shared" si="83"/>
        <v>31000</v>
      </c>
      <c r="L699" t="str">
        <f t="shared" si="84"/>
        <v>0</v>
      </c>
      <c r="M699" t="str">
        <f t="shared" si="84"/>
        <v>0</v>
      </c>
      <c r="N699" t="str">
        <f t="shared" si="84"/>
        <v>0</v>
      </c>
    </row>
    <row r="700" spans="1:14" x14ac:dyDescent="0.3">
      <c r="A700" t="s">
        <v>17</v>
      </c>
      <c r="B700" t="s">
        <v>18</v>
      </c>
      <c r="C700" t="str">
        <f t="shared" si="80"/>
        <v>400</v>
      </c>
      <c r="D700" t="str">
        <f>"612084"</f>
        <v>612084</v>
      </c>
      <c r="E700" t="s">
        <v>19</v>
      </c>
      <c r="F700" t="s">
        <v>673</v>
      </c>
      <c r="G700">
        <v>250</v>
      </c>
      <c r="H700" t="str">
        <f>""</f>
        <v/>
      </c>
      <c r="I700">
        <v>6</v>
      </c>
      <c r="J700">
        <v>0</v>
      </c>
      <c r="K700" t="str">
        <f t="shared" si="83"/>
        <v>31000</v>
      </c>
      <c r="L700" t="str">
        <f t="shared" si="84"/>
        <v>0</v>
      </c>
      <c r="M700" t="str">
        <f t="shared" si="84"/>
        <v>0</v>
      </c>
      <c r="N700" t="str">
        <f t="shared" si="84"/>
        <v>0</v>
      </c>
    </row>
    <row r="701" spans="1:14" x14ac:dyDescent="0.3">
      <c r="A701" t="s">
        <v>17</v>
      </c>
      <c r="B701" t="s">
        <v>18</v>
      </c>
      <c r="C701" t="str">
        <f t="shared" si="80"/>
        <v>400</v>
      </c>
      <c r="D701" t="str">
        <f>"612086"</f>
        <v>612086</v>
      </c>
      <c r="E701" t="s">
        <v>19</v>
      </c>
      <c r="F701" t="s">
        <v>674</v>
      </c>
      <c r="G701">
        <v>250</v>
      </c>
      <c r="H701" t="str">
        <f>""</f>
        <v/>
      </c>
      <c r="I701">
        <v>2.5</v>
      </c>
      <c r="J701">
        <v>0</v>
      </c>
      <c r="K701" t="str">
        <f t="shared" si="83"/>
        <v>31000</v>
      </c>
      <c r="L701" t="str">
        <f t="shared" si="84"/>
        <v>0</v>
      </c>
      <c r="M701" t="str">
        <f t="shared" si="84"/>
        <v>0</v>
      </c>
      <c r="N701" t="str">
        <f t="shared" si="84"/>
        <v>0</v>
      </c>
    </row>
    <row r="702" spans="1:14" x14ac:dyDescent="0.3">
      <c r="A702" t="s">
        <v>17</v>
      </c>
      <c r="B702" t="s">
        <v>18</v>
      </c>
      <c r="C702" t="str">
        <f t="shared" si="80"/>
        <v>400</v>
      </c>
      <c r="D702" t="str">
        <f>"612090"</f>
        <v>612090</v>
      </c>
      <c r="E702" t="s">
        <v>19</v>
      </c>
      <c r="F702" t="s">
        <v>675</v>
      </c>
      <c r="G702">
        <v>250</v>
      </c>
      <c r="H702" t="str">
        <f>""</f>
        <v/>
      </c>
      <c r="I702">
        <v>4.5</v>
      </c>
      <c r="J702">
        <v>0</v>
      </c>
      <c r="K702" t="str">
        <f t="shared" si="83"/>
        <v>31000</v>
      </c>
      <c r="L702" t="str">
        <f t="shared" si="84"/>
        <v>0</v>
      </c>
      <c r="M702" t="str">
        <f t="shared" si="84"/>
        <v>0</v>
      </c>
      <c r="N702" t="str">
        <f t="shared" si="84"/>
        <v>0</v>
      </c>
    </row>
    <row r="703" spans="1:14" x14ac:dyDescent="0.3">
      <c r="A703" t="s">
        <v>17</v>
      </c>
      <c r="B703" t="s">
        <v>18</v>
      </c>
      <c r="C703" t="str">
        <f t="shared" si="80"/>
        <v>400</v>
      </c>
      <c r="D703" t="str">
        <f>"612098"</f>
        <v>612098</v>
      </c>
      <c r="E703" t="s">
        <v>19</v>
      </c>
      <c r="F703" t="s">
        <v>676</v>
      </c>
      <c r="G703">
        <v>250</v>
      </c>
      <c r="H703" t="str">
        <f>""</f>
        <v/>
      </c>
      <c r="I703">
        <v>5</v>
      </c>
      <c r="J703">
        <v>0</v>
      </c>
      <c r="K703" t="str">
        <f t="shared" si="83"/>
        <v>31000</v>
      </c>
      <c r="L703" t="str">
        <f t="shared" si="84"/>
        <v>0</v>
      </c>
      <c r="M703" t="str">
        <f t="shared" si="84"/>
        <v>0</v>
      </c>
      <c r="N703" t="str">
        <f t="shared" si="84"/>
        <v>0</v>
      </c>
    </row>
    <row r="704" spans="1:14" x14ac:dyDescent="0.3">
      <c r="A704" t="s">
        <v>17</v>
      </c>
      <c r="B704" t="s">
        <v>18</v>
      </c>
      <c r="C704" t="str">
        <f t="shared" si="80"/>
        <v>400</v>
      </c>
      <c r="D704" t="str">
        <f>"612102"</f>
        <v>612102</v>
      </c>
      <c r="E704" t="s">
        <v>19</v>
      </c>
      <c r="F704" t="s">
        <v>677</v>
      </c>
      <c r="G704">
        <v>250</v>
      </c>
      <c r="H704" t="str">
        <f>""</f>
        <v/>
      </c>
      <c r="I704">
        <v>160</v>
      </c>
      <c r="J704">
        <v>0</v>
      </c>
      <c r="K704" t="str">
        <f t="shared" si="83"/>
        <v>31000</v>
      </c>
      <c r="L704" t="str">
        <f t="shared" si="84"/>
        <v>0</v>
      </c>
      <c r="M704" t="str">
        <f t="shared" si="84"/>
        <v>0</v>
      </c>
      <c r="N704" t="str">
        <f t="shared" si="84"/>
        <v>0</v>
      </c>
    </row>
    <row r="705" spans="1:14" x14ac:dyDescent="0.3">
      <c r="A705" t="s">
        <v>17</v>
      </c>
      <c r="B705" t="s">
        <v>18</v>
      </c>
      <c r="C705" t="str">
        <f t="shared" si="80"/>
        <v>400</v>
      </c>
      <c r="D705" t="str">
        <f>"612110"</f>
        <v>612110</v>
      </c>
      <c r="E705" t="s">
        <v>19</v>
      </c>
      <c r="F705" t="s">
        <v>678</v>
      </c>
      <c r="G705">
        <v>250</v>
      </c>
      <c r="H705" t="str">
        <f>""</f>
        <v/>
      </c>
      <c r="I705">
        <v>5.5</v>
      </c>
      <c r="J705">
        <v>0</v>
      </c>
      <c r="K705" t="str">
        <f t="shared" si="83"/>
        <v>31000</v>
      </c>
      <c r="L705" t="str">
        <f t="shared" si="84"/>
        <v>0</v>
      </c>
      <c r="M705" t="str">
        <f t="shared" si="84"/>
        <v>0</v>
      </c>
      <c r="N705" t="str">
        <f t="shared" si="84"/>
        <v>0</v>
      </c>
    </row>
    <row r="706" spans="1:14" x14ac:dyDescent="0.3">
      <c r="A706" t="s">
        <v>17</v>
      </c>
      <c r="B706" t="s">
        <v>18</v>
      </c>
      <c r="C706" t="str">
        <f t="shared" ref="C706:C769" si="85">"400"</f>
        <v>400</v>
      </c>
      <c r="D706" t="str">
        <f>"612111"</f>
        <v>612111</v>
      </c>
      <c r="E706" t="s">
        <v>19</v>
      </c>
      <c r="F706" t="s">
        <v>679</v>
      </c>
      <c r="G706">
        <v>250</v>
      </c>
      <c r="H706" t="str">
        <f>""</f>
        <v/>
      </c>
      <c r="I706">
        <v>10.26</v>
      </c>
      <c r="J706">
        <v>0</v>
      </c>
      <c r="K706" t="str">
        <f t="shared" si="83"/>
        <v>31000</v>
      </c>
      <c r="L706" t="str">
        <f t="shared" si="84"/>
        <v>0</v>
      </c>
      <c r="M706" t="str">
        <f t="shared" si="84"/>
        <v>0</v>
      </c>
      <c r="N706" t="str">
        <f t="shared" si="84"/>
        <v>0</v>
      </c>
    </row>
    <row r="707" spans="1:14" x14ac:dyDescent="0.3">
      <c r="A707" t="s">
        <v>17</v>
      </c>
      <c r="B707" t="s">
        <v>18</v>
      </c>
      <c r="C707" t="str">
        <f t="shared" si="85"/>
        <v>400</v>
      </c>
      <c r="D707" t="str">
        <f>"612112"</f>
        <v>612112</v>
      </c>
      <c r="E707" t="s">
        <v>19</v>
      </c>
      <c r="F707" t="s">
        <v>680</v>
      </c>
      <c r="G707">
        <v>250</v>
      </c>
      <c r="H707" t="str">
        <f>""</f>
        <v/>
      </c>
      <c r="I707">
        <v>5.5</v>
      </c>
      <c r="J707">
        <v>0</v>
      </c>
      <c r="K707" t="str">
        <f t="shared" si="83"/>
        <v>31000</v>
      </c>
      <c r="L707" t="str">
        <f t="shared" si="84"/>
        <v>0</v>
      </c>
      <c r="M707" t="str">
        <f t="shared" si="84"/>
        <v>0</v>
      </c>
      <c r="N707" t="str">
        <f t="shared" si="84"/>
        <v>0</v>
      </c>
    </row>
    <row r="708" spans="1:14" x14ac:dyDescent="0.3">
      <c r="A708" t="s">
        <v>17</v>
      </c>
      <c r="B708" t="s">
        <v>18</v>
      </c>
      <c r="C708" t="str">
        <f t="shared" si="85"/>
        <v>400</v>
      </c>
      <c r="D708" t="str">
        <f>"612113"</f>
        <v>612113</v>
      </c>
      <c r="E708" t="s">
        <v>19</v>
      </c>
      <c r="F708" t="s">
        <v>681</v>
      </c>
      <c r="G708">
        <v>250</v>
      </c>
      <c r="H708" t="str">
        <f>""</f>
        <v/>
      </c>
      <c r="I708">
        <v>8.75</v>
      </c>
      <c r="J708">
        <v>0</v>
      </c>
      <c r="K708" t="str">
        <f t="shared" si="83"/>
        <v>31000</v>
      </c>
      <c r="L708" t="str">
        <f t="shared" si="84"/>
        <v>0</v>
      </c>
      <c r="M708" t="str">
        <f t="shared" si="84"/>
        <v>0</v>
      </c>
      <c r="N708" t="str">
        <f t="shared" si="84"/>
        <v>0</v>
      </c>
    </row>
    <row r="709" spans="1:14" x14ac:dyDescent="0.3">
      <c r="A709" t="s">
        <v>17</v>
      </c>
      <c r="B709" t="s">
        <v>18</v>
      </c>
      <c r="C709" t="str">
        <f t="shared" si="85"/>
        <v>400</v>
      </c>
      <c r="D709" t="str">
        <f>"612114"</f>
        <v>612114</v>
      </c>
      <c r="E709" t="s">
        <v>19</v>
      </c>
      <c r="F709" t="s">
        <v>682</v>
      </c>
      <c r="G709">
        <v>250</v>
      </c>
      <c r="H709" t="str">
        <f>""</f>
        <v/>
      </c>
      <c r="I709">
        <v>2.5</v>
      </c>
      <c r="J709">
        <v>0</v>
      </c>
      <c r="K709" t="str">
        <f t="shared" si="83"/>
        <v>31000</v>
      </c>
      <c r="L709" t="str">
        <f t="shared" si="84"/>
        <v>0</v>
      </c>
      <c r="M709" t="str">
        <f t="shared" si="84"/>
        <v>0</v>
      </c>
      <c r="N709" t="str">
        <f t="shared" si="84"/>
        <v>0</v>
      </c>
    </row>
    <row r="710" spans="1:14" x14ac:dyDescent="0.3">
      <c r="A710" t="s">
        <v>17</v>
      </c>
      <c r="B710" t="s">
        <v>18</v>
      </c>
      <c r="C710" t="str">
        <f t="shared" si="85"/>
        <v>400</v>
      </c>
      <c r="D710" t="str">
        <f>"612115"</f>
        <v>612115</v>
      </c>
      <c r="E710" t="s">
        <v>19</v>
      </c>
      <c r="F710" t="s">
        <v>683</v>
      </c>
      <c r="G710">
        <v>250</v>
      </c>
      <c r="H710" t="str">
        <f>""</f>
        <v/>
      </c>
      <c r="I710">
        <v>3.09</v>
      </c>
      <c r="J710">
        <v>0</v>
      </c>
      <c r="K710" t="str">
        <f t="shared" si="83"/>
        <v>31000</v>
      </c>
      <c r="L710" t="str">
        <f t="shared" ref="L710:N729" si="86">"0"</f>
        <v>0</v>
      </c>
      <c r="M710" t="str">
        <f t="shared" si="86"/>
        <v>0</v>
      </c>
      <c r="N710" t="str">
        <f t="shared" si="86"/>
        <v>0</v>
      </c>
    </row>
    <row r="711" spans="1:14" x14ac:dyDescent="0.3">
      <c r="A711" t="s">
        <v>17</v>
      </c>
      <c r="B711" t="s">
        <v>18</v>
      </c>
      <c r="C711" t="str">
        <f t="shared" si="85"/>
        <v>400</v>
      </c>
      <c r="D711" t="str">
        <f>"612123"</f>
        <v>612123</v>
      </c>
      <c r="E711" t="s">
        <v>19</v>
      </c>
      <c r="F711" t="s">
        <v>684</v>
      </c>
      <c r="G711">
        <v>250</v>
      </c>
      <c r="H711" t="str">
        <f>""</f>
        <v/>
      </c>
      <c r="I711">
        <v>124</v>
      </c>
      <c r="J711">
        <v>0</v>
      </c>
      <c r="K711" t="str">
        <f t="shared" si="83"/>
        <v>31000</v>
      </c>
      <c r="L711" t="str">
        <f t="shared" si="86"/>
        <v>0</v>
      </c>
      <c r="M711" t="str">
        <f t="shared" si="86"/>
        <v>0</v>
      </c>
      <c r="N711" t="str">
        <f t="shared" si="86"/>
        <v>0</v>
      </c>
    </row>
    <row r="712" spans="1:14" x14ac:dyDescent="0.3">
      <c r="A712" t="s">
        <v>17</v>
      </c>
      <c r="B712" t="s">
        <v>18</v>
      </c>
      <c r="C712" t="str">
        <f t="shared" si="85"/>
        <v>400</v>
      </c>
      <c r="D712" t="str">
        <f>"612143"</f>
        <v>612143</v>
      </c>
      <c r="E712" t="s">
        <v>19</v>
      </c>
      <c r="F712" t="s">
        <v>685</v>
      </c>
      <c r="G712">
        <v>250</v>
      </c>
      <c r="H712" t="str">
        <f>""</f>
        <v/>
      </c>
      <c r="I712">
        <v>7.9</v>
      </c>
      <c r="J712">
        <v>0</v>
      </c>
      <c r="K712" t="str">
        <f t="shared" si="83"/>
        <v>31000</v>
      </c>
      <c r="L712" t="str">
        <f t="shared" si="86"/>
        <v>0</v>
      </c>
      <c r="M712" t="str">
        <f t="shared" si="86"/>
        <v>0</v>
      </c>
      <c r="N712" t="str">
        <f t="shared" si="86"/>
        <v>0</v>
      </c>
    </row>
    <row r="713" spans="1:14" x14ac:dyDescent="0.3">
      <c r="A713" t="s">
        <v>17</v>
      </c>
      <c r="B713" t="s">
        <v>18</v>
      </c>
      <c r="C713" t="str">
        <f t="shared" si="85"/>
        <v>400</v>
      </c>
      <c r="D713" t="str">
        <f>"612145"</f>
        <v>612145</v>
      </c>
      <c r="E713" t="s">
        <v>19</v>
      </c>
      <c r="F713" t="s">
        <v>686</v>
      </c>
      <c r="G713">
        <v>250</v>
      </c>
      <c r="H713" t="str">
        <f>""</f>
        <v/>
      </c>
      <c r="I713">
        <v>60</v>
      </c>
      <c r="J713">
        <v>0</v>
      </c>
      <c r="K713" t="str">
        <f t="shared" si="83"/>
        <v>31000</v>
      </c>
      <c r="L713" t="str">
        <f t="shared" si="86"/>
        <v>0</v>
      </c>
      <c r="M713" t="str">
        <f t="shared" si="86"/>
        <v>0</v>
      </c>
      <c r="N713" t="str">
        <f t="shared" si="86"/>
        <v>0</v>
      </c>
    </row>
    <row r="714" spans="1:14" x14ac:dyDescent="0.3">
      <c r="A714" t="s">
        <v>17</v>
      </c>
      <c r="B714" t="s">
        <v>18</v>
      </c>
      <c r="C714" t="str">
        <f t="shared" si="85"/>
        <v>400</v>
      </c>
      <c r="D714" t="str">
        <f>"612154"</f>
        <v>612154</v>
      </c>
      <c r="E714" t="s">
        <v>19</v>
      </c>
      <c r="F714" t="s">
        <v>687</v>
      </c>
      <c r="G714">
        <v>250</v>
      </c>
      <c r="H714" t="str">
        <f>""</f>
        <v/>
      </c>
      <c r="I714">
        <v>65</v>
      </c>
      <c r="J714">
        <v>0</v>
      </c>
      <c r="K714" t="str">
        <f t="shared" si="83"/>
        <v>31000</v>
      </c>
      <c r="L714" t="str">
        <f t="shared" si="86"/>
        <v>0</v>
      </c>
      <c r="M714" t="str">
        <f t="shared" si="86"/>
        <v>0</v>
      </c>
      <c r="N714" t="str">
        <f t="shared" si="86"/>
        <v>0</v>
      </c>
    </row>
    <row r="715" spans="1:14" x14ac:dyDescent="0.3">
      <c r="A715" t="s">
        <v>17</v>
      </c>
      <c r="B715" t="s">
        <v>18</v>
      </c>
      <c r="C715" t="str">
        <f t="shared" si="85"/>
        <v>400</v>
      </c>
      <c r="D715" t="str">
        <f>"612155"</f>
        <v>612155</v>
      </c>
      <c r="E715" t="s">
        <v>19</v>
      </c>
      <c r="F715" t="s">
        <v>688</v>
      </c>
      <c r="G715">
        <v>250</v>
      </c>
      <c r="H715" t="str">
        <f>""</f>
        <v/>
      </c>
      <c r="I715">
        <v>51.94</v>
      </c>
      <c r="J715">
        <v>0</v>
      </c>
      <c r="K715" t="str">
        <f t="shared" si="83"/>
        <v>31000</v>
      </c>
      <c r="L715" t="str">
        <f t="shared" si="86"/>
        <v>0</v>
      </c>
      <c r="M715" t="str">
        <f t="shared" si="86"/>
        <v>0</v>
      </c>
      <c r="N715" t="str">
        <f t="shared" si="86"/>
        <v>0</v>
      </c>
    </row>
    <row r="716" spans="1:14" x14ac:dyDescent="0.3">
      <c r="A716" t="s">
        <v>17</v>
      </c>
      <c r="B716" t="s">
        <v>18</v>
      </c>
      <c r="C716" t="str">
        <f t="shared" si="85"/>
        <v>400</v>
      </c>
      <c r="D716" t="str">
        <f>"612175"</f>
        <v>612175</v>
      </c>
      <c r="E716" t="s">
        <v>19</v>
      </c>
      <c r="F716" t="s">
        <v>689</v>
      </c>
      <c r="G716">
        <v>250</v>
      </c>
      <c r="H716" t="str">
        <f>""</f>
        <v/>
      </c>
      <c r="I716">
        <v>4.5</v>
      </c>
      <c r="J716">
        <v>0</v>
      </c>
      <c r="K716" t="str">
        <f t="shared" si="83"/>
        <v>31000</v>
      </c>
      <c r="L716" t="str">
        <f t="shared" si="86"/>
        <v>0</v>
      </c>
      <c r="M716" t="str">
        <f t="shared" si="86"/>
        <v>0</v>
      </c>
      <c r="N716" t="str">
        <f t="shared" si="86"/>
        <v>0</v>
      </c>
    </row>
    <row r="717" spans="1:14" x14ac:dyDescent="0.3">
      <c r="A717" t="s">
        <v>17</v>
      </c>
      <c r="B717" t="s">
        <v>18</v>
      </c>
      <c r="C717" t="str">
        <f t="shared" si="85"/>
        <v>400</v>
      </c>
      <c r="D717" t="str">
        <f>"612200"</f>
        <v>612200</v>
      </c>
      <c r="E717" t="s">
        <v>19</v>
      </c>
      <c r="F717" t="s">
        <v>690</v>
      </c>
      <c r="G717">
        <v>250</v>
      </c>
      <c r="H717" t="str">
        <f>""</f>
        <v/>
      </c>
      <c r="I717">
        <v>15</v>
      </c>
      <c r="J717">
        <v>0</v>
      </c>
      <c r="K717" t="str">
        <f t="shared" si="83"/>
        <v>31000</v>
      </c>
      <c r="L717" t="str">
        <f t="shared" si="86"/>
        <v>0</v>
      </c>
      <c r="M717" t="str">
        <f t="shared" si="86"/>
        <v>0</v>
      </c>
      <c r="N717" t="str">
        <f t="shared" si="86"/>
        <v>0</v>
      </c>
    </row>
    <row r="718" spans="1:14" x14ac:dyDescent="0.3">
      <c r="A718" t="s">
        <v>17</v>
      </c>
      <c r="B718" t="s">
        <v>18</v>
      </c>
      <c r="C718" t="str">
        <f t="shared" si="85"/>
        <v>400</v>
      </c>
      <c r="D718" t="str">
        <f>"612204"</f>
        <v>612204</v>
      </c>
      <c r="E718" t="s">
        <v>19</v>
      </c>
      <c r="F718" t="s">
        <v>691</v>
      </c>
      <c r="G718">
        <v>250</v>
      </c>
      <c r="H718" t="str">
        <f>""</f>
        <v/>
      </c>
      <c r="I718">
        <v>6.5</v>
      </c>
      <c r="J718">
        <v>0</v>
      </c>
      <c r="K718" t="str">
        <f t="shared" si="83"/>
        <v>31000</v>
      </c>
      <c r="L718" t="str">
        <f t="shared" si="86"/>
        <v>0</v>
      </c>
      <c r="M718" t="str">
        <f t="shared" si="86"/>
        <v>0</v>
      </c>
      <c r="N718" t="str">
        <f t="shared" si="86"/>
        <v>0</v>
      </c>
    </row>
    <row r="719" spans="1:14" x14ac:dyDescent="0.3">
      <c r="A719" t="s">
        <v>17</v>
      </c>
      <c r="B719" t="s">
        <v>18</v>
      </c>
      <c r="C719" t="str">
        <f t="shared" si="85"/>
        <v>400</v>
      </c>
      <c r="D719" t="str">
        <f>"612207"</f>
        <v>612207</v>
      </c>
      <c r="E719" t="s">
        <v>19</v>
      </c>
      <c r="F719" t="s">
        <v>692</v>
      </c>
      <c r="G719">
        <v>250</v>
      </c>
      <c r="H719" t="str">
        <f>""</f>
        <v/>
      </c>
      <c r="I719">
        <v>12.75</v>
      </c>
      <c r="J719">
        <v>0</v>
      </c>
      <c r="K719" t="str">
        <f t="shared" si="83"/>
        <v>31000</v>
      </c>
      <c r="L719" t="str">
        <f t="shared" si="86"/>
        <v>0</v>
      </c>
      <c r="M719" t="str">
        <f t="shared" si="86"/>
        <v>0</v>
      </c>
      <c r="N719" t="str">
        <f t="shared" si="86"/>
        <v>0</v>
      </c>
    </row>
    <row r="720" spans="1:14" x14ac:dyDescent="0.3">
      <c r="A720" t="s">
        <v>17</v>
      </c>
      <c r="B720" t="s">
        <v>18</v>
      </c>
      <c r="C720" t="str">
        <f t="shared" si="85"/>
        <v>400</v>
      </c>
      <c r="D720" t="str">
        <f>"612230"</f>
        <v>612230</v>
      </c>
      <c r="E720" t="s">
        <v>19</v>
      </c>
      <c r="F720" t="s">
        <v>693</v>
      </c>
      <c r="G720">
        <v>250</v>
      </c>
      <c r="H720" t="str">
        <f>""</f>
        <v/>
      </c>
      <c r="I720">
        <v>5.5</v>
      </c>
      <c r="J720">
        <v>0</v>
      </c>
      <c r="K720" t="str">
        <f t="shared" si="83"/>
        <v>31000</v>
      </c>
      <c r="L720" t="str">
        <f t="shared" si="86"/>
        <v>0</v>
      </c>
      <c r="M720" t="str">
        <f t="shared" si="86"/>
        <v>0</v>
      </c>
      <c r="N720" t="str">
        <f t="shared" si="86"/>
        <v>0</v>
      </c>
    </row>
    <row r="721" spans="1:14" x14ac:dyDescent="0.3">
      <c r="A721" t="s">
        <v>17</v>
      </c>
      <c r="B721" t="s">
        <v>18</v>
      </c>
      <c r="C721" t="str">
        <f t="shared" si="85"/>
        <v>400</v>
      </c>
      <c r="D721" t="str">
        <f>"612250"</f>
        <v>612250</v>
      </c>
      <c r="E721" t="s">
        <v>19</v>
      </c>
      <c r="F721" t="s">
        <v>694</v>
      </c>
      <c r="G721">
        <v>250</v>
      </c>
      <c r="H721" t="str">
        <f>""</f>
        <v/>
      </c>
      <c r="I721">
        <v>5.5</v>
      </c>
      <c r="J721">
        <v>0</v>
      </c>
      <c r="K721" t="str">
        <f t="shared" si="83"/>
        <v>31000</v>
      </c>
      <c r="L721" t="str">
        <f t="shared" si="86"/>
        <v>0</v>
      </c>
      <c r="M721" t="str">
        <f t="shared" si="86"/>
        <v>0</v>
      </c>
      <c r="N721" t="str">
        <f t="shared" si="86"/>
        <v>0</v>
      </c>
    </row>
    <row r="722" spans="1:14" x14ac:dyDescent="0.3">
      <c r="A722" t="s">
        <v>17</v>
      </c>
      <c r="B722" t="s">
        <v>18</v>
      </c>
      <c r="C722" t="str">
        <f t="shared" si="85"/>
        <v>400</v>
      </c>
      <c r="D722" t="str">
        <f>"612251"</f>
        <v>612251</v>
      </c>
      <c r="E722" t="s">
        <v>19</v>
      </c>
      <c r="F722" t="s">
        <v>695</v>
      </c>
      <c r="G722">
        <v>250</v>
      </c>
      <c r="H722" t="str">
        <f>""</f>
        <v/>
      </c>
      <c r="I722">
        <v>15</v>
      </c>
      <c r="J722">
        <v>0</v>
      </c>
      <c r="K722" t="str">
        <f t="shared" si="83"/>
        <v>31000</v>
      </c>
      <c r="L722" t="str">
        <f t="shared" si="86"/>
        <v>0</v>
      </c>
      <c r="M722" t="str">
        <f t="shared" si="86"/>
        <v>0</v>
      </c>
      <c r="N722" t="str">
        <f t="shared" si="86"/>
        <v>0</v>
      </c>
    </row>
    <row r="723" spans="1:14" x14ac:dyDescent="0.3">
      <c r="A723" t="s">
        <v>17</v>
      </c>
      <c r="B723" t="s">
        <v>18</v>
      </c>
      <c r="C723" t="str">
        <f t="shared" si="85"/>
        <v>400</v>
      </c>
      <c r="D723" t="str">
        <f>"612255"</f>
        <v>612255</v>
      </c>
      <c r="E723" t="s">
        <v>19</v>
      </c>
      <c r="F723" t="s">
        <v>696</v>
      </c>
      <c r="G723">
        <v>250</v>
      </c>
      <c r="H723" t="str">
        <f>""</f>
        <v/>
      </c>
      <c r="I723">
        <v>46.5</v>
      </c>
      <c r="J723">
        <v>0</v>
      </c>
      <c r="K723" t="str">
        <f t="shared" si="83"/>
        <v>31000</v>
      </c>
      <c r="L723" t="str">
        <f t="shared" si="86"/>
        <v>0</v>
      </c>
      <c r="M723" t="str">
        <f t="shared" si="86"/>
        <v>0</v>
      </c>
      <c r="N723" t="str">
        <f t="shared" si="86"/>
        <v>0</v>
      </c>
    </row>
    <row r="724" spans="1:14" x14ac:dyDescent="0.3">
      <c r="A724" t="s">
        <v>17</v>
      </c>
      <c r="B724" t="s">
        <v>18</v>
      </c>
      <c r="C724" t="str">
        <f t="shared" si="85"/>
        <v>400</v>
      </c>
      <c r="D724" t="str">
        <f>"612256"</f>
        <v>612256</v>
      </c>
      <c r="E724" t="s">
        <v>19</v>
      </c>
      <c r="F724" t="s">
        <v>697</v>
      </c>
      <c r="G724">
        <v>250</v>
      </c>
      <c r="H724" t="str">
        <f>""</f>
        <v/>
      </c>
      <c r="I724">
        <v>75.36</v>
      </c>
      <c r="J724">
        <v>0</v>
      </c>
      <c r="K724" t="str">
        <f t="shared" si="83"/>
        <v>31000</v>
      </c>
      <c r="L724" t="str">
        <f t="shared" si="86"/>
        <v>0</v>
      </c>
      <c r="M724" t="str">
        <f t="shared" si="86"/>
        <v>0</v>
      </c>
      <c r="N724" t="str">
        <f t="shared" si="86"/>
        <v>0</v>
      </c>
    </row>
    <row r="725" spans="1:14" x14ac:dyDescent="0.3">
      <c r="A725" t="s">
        <v>17</v>
      </c>
      <c r="B725" t="s">
        <v>18</v>
      </c>
      <c r="C725" t="str">
        <f t="shared" si="85"/>
        <v>400</v>
      </c>
      <c r="D725" t="str">
        <f>"612257"</f>
        <v>612257</v>
      </c>
      <c r="E725" t="s">
        <v>19</v>
      </c>
      <c r="F725" t="s">
        <v>698</v>
      </c>
      <c r="G725">
        <v>250</v>
      </c>
      <c r="H725" t="str">
        <f>""</f>
        <v/>
      </c>
      <c r="I725">
        <v>106.68</v>
      </c>
      <c r="J725">
        <v>0</v>
      </c>
      <c r="K725" t="str">
        <f t="shared" si="83"/>
        <v>31000</v>
      </c>
      <c r="L725" t="str">
        <f t="shared" si="86"/>
        <v>0</v>
      </c>
      <c r="M725" t="str">
        <f t="shared" si="86"/>
        <v>0</v>
      </c>
      <c r="N725" t="str">
        <f t="shared" si="86"/>
        <v>0</v>
      </c>
    </row>
    <row r="726" spans="1:14" x14ac:dyDescent="0.3">
      <c r="A726" t="s">
        <v>17</v>
      </c>
      <c r="B726" t="s">
        <v>18</v>
      </c>
      <c r="C726" t="str">
        <f t="shared" si="85"/>
        <v>400</v>
      </c>
      <c r="D726" t="str">
        <f>"612258"</f>
        <v>612258</v>
      </c>
      <c r="E726" t="s">
        <v>19</v>
      </c>
      <c r="F726" t="s">
        <v>699</v>
      </c>
      <c r="G726">
        <v>250</v>
      </c>
      <c r="H726" t="str">
        <f>""</f>
        <v/>
      </c>
      <c r="I726">
        <v>13.99</v>
      </c>
      <c r="J726">
        <v>0</v>
      </c>
      <c r="K726" t="str">
        <f t="shared" si="83"/>
        <v>31000</v>
      </c>
      <c r="L726" t="str">
        <f t="shared" si="86"/>
        <v>0</v>
      </c>
      <c r="M726" t="str">
        <f t="shared" si="86"/>
        <v>0</v>
      </c>
      <c r="N726" t="str">
        <f t="shared" si="86"/>
        <v>0</v>
      </c>
    </row>
    <row r="727" spans="1:14" x14ac:dyDescent="0.3">
      <c r="A727" t="s">
        <v>17</v>
      </c>
      <c r="B727" t="s">
        <v>18</v>
      </c>
      <c r="C727" t="str">
        <f t="shared" si="85"/>
        <v>400</v>
      </c>
      <c r="D727" t="str">
        <f>"612284"</f>
        <v>612284</v>
      </c>
      <c r="E727" t="s">
        <v>19</v>
      </c>
      <c r="F727" t="s">
        <v>700</v>
      </c>
      <c r="G727">
        <v>250</v>
      </c>
      <c r="H727" t="str">
        <f>""</f>
        <v/>
      </c>
      <c r="I727">
        <v>4.5</v>
      </c>
      <c r="J727">
        <v>0</v>
      </c>
      <c r="K727" t="str">
        <f t="shared" si="83"/>
        <v>31000</v>
      </c>
      <c r="L727" t="str">
        <f t="shared" si="86"/>
        <v>0</v>
      </c>
      <c r="M727" t="str">
        <f t="shared" si="86"/>
        <v>0</v>
      </c>
      <c r="N727" t="str">
        <f t="shared" si="86"/>
        <v>0</v>
      </c>
    </row>
    <row r="728" spans="1:14" x14ac:dyDescent="0.3">
      <c r="A728" t="s">
        <v>17</v>
      </c>
      <c r="B728" t="s">
        <v>18</v>
      </c>
      <c r="C728" t="str">
        <f t="shared" si="85"/>
        <v>400</v>
      </c>
      <c r="D728" t="str">
        <f>"612285"</f>
        <v>612285</v>
      </c>
      <c r="E728" t="s">
        <v>19</v>
      </c>
      <c r="F728" t="s">
        <v>701</v>
      </c>
      <c r="G728">
        <v>250</v>
      </c>
      <c r="H728" t="str">
        <f>""</f>
        <v/>
      </c>
      <c r="I728">
        <v>5</v>
      </c>
      <c r="J728">
        <v>0</v>
      </c>
      <c r="K728" t="str">
        <f t="shared" si="83"/>
        <v>31000</v>
      </c>
      <c r="L728" t="str">
        <f t="shared" si="86"/>
        <v>0</v>
      </c>
      <c r="M728" t="str">
        <f t="shared" si="86"/>
        <v>0</v>
      </c>
      <c r="N728" t="str">
        <f t="shared" si="86"/>
        <v>0</v>
      </c>
    </row>
    <row r="729" spans="1:14" x14ac:dyDescent="0.3">
      <c r="A729" t="s">
        <v>17</v>
      </c>
      <c r="B729" t="s">
        <v>18</v>
      </c>
      <c r="C729" t="str">
        <f t="shared" si="85"/>
        <v>400</v>
      </c>
      <c r="D729" t="str">
        <f>"612300"</f>
        <v>612300</v>
      </c>
      <c r="E729" t="s">
        <v>19</v>
      </c>
      <c r="F729" t="s">
        <v>702</v>
      </c>
      <c r="G729">
        <v>250</v>
      </c>
      <c r="H729" t="str">
        <f>""</f>
        <v/>
      </c>
      <c r="I729">
        <v>4.5</v>
      </c>
      <c r="J729">
        <v>0</v>
      </c>
      <c r="K729" t="str">
        <f t="shared" si="83"/>
        <v>31000</v>
      </c>
      <c r="L729" t="str">
        <f t="shared" si="86"/>
        <v>0</v>
      </c>
      <c r="M729" t="str">
        <f t="shared" si="86"/>
        <v>0</v>
      </c>
      <c r="N729" t="str">
        <f t="shared" si="86"/>
        <v>0</v>
      </c>
    </row>
    <row r="730" spans="1:14" x14ac:dyDescent="0.3">
      <c r="A730" t="s">
        <v>17</v>
      </c>
      <c r="B730" t="s">
        <v>18</v>
      </c>
      <c r="C730" t="str">
        <f t="shared" si="85"/>
        <v>400</v>
      </c>
      <c r="D730" t="str">
        <f>"612301"</f>
        <v>612301</v>
      </c>
      <c r="E730" t="s">
        <v>19</v>
      </c>
      <c r="F730" t="s">
        <v>703</v>
      </c>
      <c r="G730">
        <v>250</v>
      </c>
      <c r="H730" t="str">
        <f>""</f>
        <v/>
      </c>
      <c r="I730">
        <v>6</v>
      </c>
      <c r="J730">
        <v>0</v>
      </c>
      <c r="K730" t="str">
        <f t="shared" si="83"/>
        <v>31000</v>
      </c>
      <c r="L730" t="str">
        <f t="shared" ref="L730:N749" si="87">"0"</f>
        <v>0</v>
      </c>
      <c r="M730" t="str">
        <f t="shared" si="87"/>
        <v>0</v>
      </c>
      <c r="N730" t="str">
        <f t="shared" si="87"/>
        <v>0</v>
      </c>
    </row>
    <row r="731" spans="1:14" x14ac:dyDescent="0.3">
      <c r="A731" t="s">
        <v>17</v>
      </c>
      <c r="B731" t="s">
        <v>18</v>
      </c>
      <c r="C731" t="str">
        <f t="shared" si="85"/>
        <v>400</v>
      </c>
      <c r="D731" t="str">
        <f>"612302"</f>
        <v>612302</v>
      </c>
      <c r="E731" t="s">
        <v>19</v>
      </c>
      <c r="F731" t="s">
        <v>704</v>
      </c>
      <c r="G731">
        <v>250</v>
      </c>
      <c r="H731" t="str">
        <f>""</f>
        <v/>
      </c>
      <c r="I731">
        <v>6</v>
      </c>
      <c r="J731">
        <v>0</v>
      </c>
      <c r="K731" t="str">
        <f t="shared" si="83"/>
        <v>31000</v>
      </c>
      <c r="L731" t="str">
        <f t="shared" si="87"/>
        <v>0</v>
      </c>
      <c r="M731" t="str">
        <f t="shared" si="87"/>
        <v>0</v>
      </c>
      <c r="N731" t="str">
        <f t="shared" si="87"/>
        <v>0</v>
      </c>
    </row>
    <row r="732" spans="1:14" x14ac:dyDescent="0.3">
      <c r="A732" t="s">
        <v>17</v>
      </c>
      <c r="B732" t="s">
        <v>18</v>
      </c>
      <c r="C732" t="str">
        <f t="shared" si="85"/>
        <v>400</v>
      </c>
      <c r="D732" t="str">
        <f>"612303"</f>
        <v>612303</v>
      </c>
      <c r="E732" t="s">
        <v>19</v>
      </c>
      <c r="F732" t="s">
        <v>705</v>
      </c>
      <c r="G732">
        <v>250</v>
      </c>
      <c r="H732" t="str">
        <f>""</f>
        <v/>
      </c>
      <c r="I732">
        <v>6</v>
      </c>
      <c r="J732">
        <v>0</v>
      </c>
      <c r="K732" t="str">
        <f t="shared" si="83"/>
        <v>31000</v>
      </c>
      <c r="L732" t="str">
        <f t="shared" si="87"/>
        <v>0</v>
      </c>
      <c r="M732" t="str">
        <f t="shared" si="87"/>
        <v>0</v>
      </c>
      <c r="N732" t="str">
        <f t="shared" si="87"/>
        <v>0</v>
      </c>
    </row>
    <row r="733" spans="1:14" x14ac:dyDescent="0.3">
      <c r="A733" t="s">
        <v>17</v>
      </c>
      <c r="B733" t="s">
        <v>18</v>
      </c>
      <c r="C733" t="str">
        <f t="shared" si="85"/>
        <v>400</v>
      </c>
      <c r="D733" t="str">
        <f>"612306"</f>
        <v>612306</v>
      </c>
      <c r="E733" t="s">
        <v>19</v>
      </c>
      <c r="F733" t="s">
        <v>706</v>
      </c>
      <c r="G733">
        <v>250</v>
      </c>
      <c r="H733" t="str">
        <f>""</f>
        <v/>
      </c>
      <c r="I733">
        <v>6</v>
      </c>
      <c r="J733">
        <v>0</v>
      </c>
      <c r="K733" t="str">
        <f t="shared" si="83"/>
        <v>31000</v>
      </c>
      <c r="L733" t="str">
        <f t="shared" si="87"/>
        <v>0</v>
      </c>
      <c r="M733" t="str">
        <f t="shared" si="87"/>
        <v>0</v>
      </c>
      <c r="N733" t="str">
        <f t="shared" si="87"/>
        <v>0</v>
      </c>
    </row>
    <row r="734" spans="1:14" x14ac:dyDescent="0.3">
      <c r="A734" t="s">
        <v>17</v>
      </c>
      <c r="B734" t="s">
        <v>18</v>
      </c>
      <c r="C734" t="str">
        <f t="shared" si="85"/>
        <v>400</v>
      </c>
      <c r="D734" t="str">
        <f>"612309"</f>
        <v>612309</v>
      </c>
      <c r="E734" t="s">
        <v>19</v>
      </c>
      <c r="F734" t="s">
        <v>707</v>
      </c>
      <c r="G734">
        <v>250</v>
      </c>
      <c r="H734" t="str">
        <f>""</f>
        <v/>
      </c>
      <c r="I734">
        <v>13.71</v>
      </c>
      <c r="J734">
        <v>0</v>
      </c>
      <c r="K734" t="str">
        <f t="shared" si="83"/>
        <v>31000</v>
      </c>
      <c r="L734" t="str">
        <f t="shared" si="87"/>
        <v>0</v>
      </c>
      <c r="M734" t="str">
        <f t="shared" si="87"/>
        <v>0</v>
      </c>
      <c r="N734" t="str">
        <f t="shared" si="87"/>
        <v>0</v>
      </c>
    </row>
    <row r="735" spans="1:14" x14ac:dyDescent="0.3">
      <c r="A735" t="s">
        <v>17</v>
      </c>
      <c r="B735" t="s">
        <v>18</v>
      </c>
      <c r="C735" t="str">
        <f t="shared" si="85"/>
        <v>400</v>
      </c>
      <c r="D735" t="str">
        <f>"612311"</f>
        <v>612311</v>
      </c>
      <c r="E735" t="s">
        <v>19</v>
      </c>
      <c r="F735" t="s">
        <v>708</v>
      </c>
      <c r="G735">
        <v>250</v>
      </c>
      <c r="H735" t="str">
        <f>""</f>
        <v/>
      </c>
      <c r="I735">
        <v>4.5</v>
      </c>
      <c r="J735">
        <v>0</v>
      </c>
      <c r="K735" t="str">
        <f t="shared" si="83"/>
        <v>31000</v>
      </c>
      <c r="L735" t="str">
        <f t="shared" si="87"/>
        <v>0</v>
      </c>
      <c r="M735" t="str">
        <f t="shared" si="87"/>
        <v>0</v>
      </c>
      <c r="N735" t="str">
        <f t="shared" si="87"/>
        <v>0</v>
      </c>
    </row>
    <row r="736" spans="1:14" x14ac:dyDescent="0.3">
      <c r="A736" t="s">
        <v>17</v>
      </c>
      <c r="B736" t="s">
        <v>18</v>
      </c>
      <c r="C736" t="str">
        <f t="shared" si="85"/>
        <v>400</v>
      </c>
      <c r="D736" t="str">
        <f>"612313"</f>
        <v>612313</v>
      </c>
      <c r="E736" t="s">
        <v>19</v>
      </c>
      <c r="F736" t="s">
        <v>709</v>
      </c>
      <c r="G736">
        <v>250</v>
      </c>
      <c r="H736" t="str">
        <f>""</f>
        <v/>
      </c>
      <c r="I736">
        <v>138</v>
      </c>
      <c r="J736">
        <v>0</v>
      </c>
      <c r="K736" t="str">
        <f t="shared" si="83"/>
        <v>31000</v>
      </c>
      <c r="L736" t="str">
        <f t="shared" si="87"/>
        <v>0</v>
      </c>
      <c r="M736" t="str">
        <f t="shared" si="87"/>
        <v>0</v>
      </c>
      <c r="N736" t="str">
        <f t="shared" si="87"/>
        <v>0</v>
      </c>
    </row>
    <row r="737" spans="1:14" x14ac:dyDescent="0.3">
      <c r="A737" t="s">
        <v>17</v>
      </c>
      <c r="B737" t="s">
        <v>18</v>
      </c>
      <c r="C737" t="str">
        <f t="shared" si="85"/>
        <v>400</v>
      </c>
      <c r="D737" t="str">
        <f>"612316"</f>
        <v>612316</v>
      </c>
      <c r="E737" t="s">
        <v>19</v>
      </c>
      <c r="F737" t="s">
        <v>710</v>
      </c>
      <c r="G737">
        <v>250</v>
      </c>
      <c r="H737" t="str">
        <f>""</f>
        <v/>
      </c>
      <c r="I737">
        <v>2.5</v>
      </c>
      <c r="J737">
        <v>0</v>
      </c>
      <c r="K737" t="str">
        <f t="shared" si="83"/>
        <v>31000</v>
      </c>
      <c r="L737" t="str">
        <f t="shared" si="87"/>
        <v>0</v>
      </c>
      <c r="M737" t="str">
        <f t="shared" si="87"/>
        <v>0</v>
      </c>
      <c r="N737" t="str">
        <f t="shared" si="87"/>
        <v>0</v>
      </c>
    </row>
    <row r="738" spans="1:14" x14ac:dyDescent="0.3">
      <c r="A738" t="s">
        <v>17</v>
      </c>
      <c r="B738" t="s">
        <v>18</v>
      </c>
      <c r="C738" t="str">
        <f t="shared" si="85"/>
        <v>400</v>
      </c>
      <c r="D738" t="str">
        <f>"612321"</f>
        <v>612321</v>
      </c>
      <c r="E738" t="s">
        <v>19</v>
      </c>
      <c r="F738" t="s">
        <v>711</v>
      </c>
      <c r="G738">
        <v>250</v>
      </c>
      <c r="H738" t="str">
        <f>""</f>
        <v/>
      </c>
      <c r="I738">
        <v>4.5</v>
      </c>
      <c r="J738">
        <v>0</v>
      </c>
      <c r="K738" t="str">
        <f t="shared" si="83"/>
        <v>31000</v>
      </c>
      <c r="L738" t="str">
        <f t="shared" si="87"/>
        <v>0</v>
      </c>
      <c r="M738" t="str">
        <f t="shared" si="87"/>
        <v>0</v>
      </c>
      <c r="N738" t="str">
        <f t="shared" si="87"/>
        <v>0</v>
      </c>
    </row>
    <row r="739" spans="1:14" x14ac:dyDescent="0.3">
      <c r="A739" t="s">
        <v>17</v>
      </c>
      <c r="B739" t="s">
        <v>18</v>
      </c>
      <c r="C739" t="str">
        <f t="shared" si="85"/>
        <v>400</v>
      </c>
      <c r="D739" t="str">
        <f>"612326"</f>
        <v>612326</v>
      </c>
      <c r="E739" t="s">
        <v>19</v>
      </c>
      <c r="F739" t="s">
        <v>712</v>
      </c>
      <c r="G739">
        <v>250</v>
      </c>
      <c r="H739" t="str">
        <f>""</f>
        <v/>
      </c>
      <c r="I739">
        <v>55.5</v>
      </c>
      <c r="J739">
        <v>0</v>
      </c>
      <c r="K739" t="str">
        <f t="shared" si="83"/>
        <v>31000</v>
      </c>
      <c r="L739" t="str">
        <f t="shared" si="87"/>
        <v>0</v>
      </c>
      <c r="M739" t="str">
        <f t="shared" si="87"/>
        <v>0</v>
      </c>
      <c r="N739" t="str">
        <f t="shared" si="87"/>
        <v>0</v>
      </c>
    </row>
    <row r="740" spans="1:14" x14ac:dyDescent="0.3">
      <c r="A740" t="s">
        <v>17</v>
      </c>
      <c r="B740" t="s">
        <v>18</v>
      </c>
      <c r="C740" t="str">
        <f t="shared" si="85"/>
        <v>400</v>
      </c>
      <c r="D740" t="str">
        <f>"612333"</f>
        <v>612333</v>
      </c>
      <c r="E740" t="s">
        <v>19</v>
      </c>
      <c r="F740" t="s">
        <v>713</v>
      </c>
      <c r="G740">
        <v>250</v>
      </c>
      <c r="H740" t="str">
        <f>""</f>
        <v/>
      </c>
      <c r="I740">
        <v>29.95</v>
      </c>
      <c r="J740">
        <v>0</v>
      </c>
      <c r="K740" t="str">
        <f t="shared" si="83"/>
        <v>31000</v>
      </c>
      <c r="L740" t="str">
        <f t="shared" si="87"/>
        <v>0</v>
      </c>
      <c r="M740" t="str">
        <f t="shared" si="87"/>
        <v>0</v>
      </c>
      <c r="N740" t="str">
        <f t="shared" si="87"/>
        <v>0</v>
      </c>
    </row>
    <row r="741" spans="1:14" x14ac:dyDescent="0.3">
      <c r="A741" t="s">
        <v>17</v>
      </c>
      <c r="B741" t="s">
        <v>18</v>
      </c>
      <c r="C741" t="str">
        <f t="shared" si="85"/>
        <v>400</v>
      </c>
      <c r="D741" t="str">
        <f>"612348"</f>
        <v>612348</v>
      </c>
      <c r="E741" t="s">
        <v>19</v>
      </c>
      <c r="F741" t="s">
        <v>714</v>
      </c>
      <c r="G741">
        <v>250</v>
      </c>
      <c r="H741" t="str">
        <f>""</f>
        <v/>
      </c>
      <c r="I741">
        <v>3.5</v>
      </c>
      <c r="J741">
        <v>0</v>
      </c>
      <c r="K741" t="str">
        <f t="shared" si="83"/>
        <v>31000</v>
      </c>
      <c r="L741" t="str">
        <f t="shared" si="87"/>
        <v>0</v>
      </c>
      <c r="M741" t="str">
        <f t="shared" si="87"/>
        <v>0</v>
      </c>
      <c r="N741" t="str">
        <f t="shared" si="87"/>
        <v>0</v>
      </c>
    </row>
    <row r="742" spans="1:14" x14ac:dyDescent="0.3">
      <c r="A742" t="s">
        <v>17</v>
      </c>
      <c r="B742" t="s">
        <v>18</v>
      </c>
      <c r="C742" t="str">
        <f t="shared" si="85"/>
        <v>400</v>
      </c>
      <c r="D742" t="str">
        <f>"612357"</f>
        <v>612357</v>
      </c>
      <c r="E742" t="s">
        <v>19</v>
      </c>
      <c r="F742" t="s">
        <v>715</v>
      </c>
      <c r="G742">
        <v>250</v>
      </c>
      <c r="H742" t="str">
        <f>""</f>
        <v/>
      </c>
      <c r="I742">
        <v>8.5</v>
      </c>
      <c r="J742">
        <v>0</v>
      </c>
      <c r="K742" t="str">
        <f t="shared" si="83"/>
        <v>31000</v>
      </c>
      <c r="L742" t="str">
        <f t="shared" si="87"/>
        <v>0</v>
      </c>
      <c r="M742" t="str">
        <f t="shared" si="87"/>
        <v>0</v>
      </c>
      <c r="N742" t="str">
        <f t="shared" si="87"/>
        <v>0</v>
      </c>
    </row>
    <row r="743" spans="1:14" x14ac:dyDescent="0.3">
      <c r="A743" t="s">
        <v>17</v>
      </c>
      <c r="B743" t="s">
        <v>18</v>
      </c>
      <c r="C743" t="str">
        <f t="shared" si="85"/>
        <v>400</v>
      </c>
      <c r="D743" t="str">
        <f>"612364"</f>
        <v>612364</v>
      </c>
      <c r="E743" t="s">
        <v>19</v>
      </c>
      <c r="F743" t="s">
        <v>716</v>
      </c>
      <c r="G743">
        <v>250</v>
      </c>
      <c r="H743" t="str">
        <f>""</f>
        <v/>
      </c>
      <c r="I743">
        <v>9.9499999999999993</v>
      </c>
      <c r="J743">
        <v>0</v>
      </c>
      <c r="K743" t="str">
        <f t="shared" si="83"/>
        <v>31000</v>
      </c>
      <c r="L743" t="str">
        <f t="shared" si="87"/>
        <v>0</v>
      </c>
      <c r="M743" t="str">
        <f t="shared" si="87"/>
        <v>0</v>
      </c>
      <c r="N743" t="str">
        <f t="shared" si="87"/>
        <v>0</v>
      </c>
    </row>
    <row r="744" spans="1:14" x14ac:dyDescent="0.3">
      <c r="A744" t="s">
        <v>17</v>
      </c>
      <c r="B744" t="s">
        <v>18</v>
      </c>
      <c r="C744" t="str">
        <f t="shared" si="85"/>
        <v>400</v>
      </c>
      <c r="D744" t="str">
        <f>"612365"</f>
        <v>612365</v>
      </c>
      <c r="E744" t="s">
        <v>19</v>
      </c>
      <c r="F744" t="s">
        <v>717</v>
      </c>
      <c r="G744">
        <v>250</v>
      </c>
      <c r="H744" t="str">
        <f>""</f>
        <v/>
      </c>
      <c r="I744">
        <v>4.5</v>
      </c>
      <c r="J744">
        <v>0</v>
      </c>
      <c r="K744" t="str">
        <f t="shared" si="83"/>
        <v>31000</v>
      </c>
      <c r="L744" t="str">
        <f t="shared" si="87"/>
        <v>0</v>
      </c>
      <c r="M744" t="str">
        <f t="shared" si="87"/>
        <v>0</v>
      </c>
      <c r="N744" t="str">
        <f t="shared" si="87"/>
        <v>0</v>
      </c>
    </row>
    <row r="745" spans="1:14" x14ac:dyDescent="0.3">
      <c r="A745" t="s">
        <v>17</v>
      </c>
      <c r="B745" t="s">
        <v>18</v>
      </c>
      <c r="C745" t="str">
        <f t="shared" si="85"/>
        <v>400</v>
      </c>
      <c r="D745" t="str">
        <f>"612375"</f>
        <v>612375</v>
      </c>
      <c r="E745" t="s">
        <v>19</v>
      </c>
      <c r="F745" t="s">
        <v>718</v>
      </c>
      <c r="G745">
        <v>250</v>
      </c>
      <c r="I745">
        <v>2.5</v>
      </c>
      <c r="J745">
        <v>0</v>
      </c>
      <c r="K745" t="str">
        <f t="shared" si="83"/>
        <v>31000</v>
      </c>
      <c r="L745" t="str">
        <f t="shared" si="87"/>
        <v>0</v>
      </c>
      <c r="M745" t="str">
        <f t="shared" si="87"/>
        <v>0</v>
      </c>
      <c r="N745" t="str">
        <f t="shared" si="87"/>
        <v>0</v>
      </c>
    </row>
    <row r="746" spans="1:14" x14ac:dyDescent="0.3">
      <c r="A746" t="s">
        <v>17</v>
      </c>
      <c r="B746" t="s">
        <v>18</v>
      </c>
      <c r="C746" t="str">
        <f t="shared" si="85"/>
        <v>400</v>
      </c>
      <c r="D746" t="str">
        <f>"612395"</f>
        <v>612395</v>
      </c>
      <c r="E746" t="s">
        <v>19</v>
      </c>
      <c r="F746" t="s">
        <v>719</v>
      </c>
      <c r="G746">
        <v>250</v>
      </c>
      <c r="H746" t="str">
        <f>""</f>
        <v/>
      </c>
      <c r="I746">
        <v>2.5</v>
      </c>
      <c r="J746">
        <v>0</v>
      </c>
      <c r="K746" t="str">
        <f t="shared" si="83"/>
        <v>31000</v>
      </c>
      <c r="L746" t="str">
        <f t="shared" si="87"/>
        <v>0</v>
      </c>
      <c r="M746" t="str">
        <f t="shared" si="87"/>
        <v>0</v>
      </c>
      <c r="N746" t="str">
        <f t="shared" si="87"/>
        <v>0</v>
      </c>
    </row>
    <row r="747" spans="1:14" x14ac:dyDescent="0.3">
      <c r="A747" t="s">
        <v>17</v>
      </c>
      <c r="B747" t="s">
        <v>18</v>
      </c>
      <c r="C747" t="str">
        <f t="shared" si="85"/>
        <v>400</v>
      </c>
      <c r="D747" t="str">
        <f>"612396"</f>
        <v>612396</v>
      </c>
      <c r="E747" t="s">
        <v>19</v>
      </c>
      <c r="F747" t="s">
        <v>720</v>
      </c>
      <c r="G747">
        <v>250</v>
      </c>
      <c r="H747" t="str">
        <f>""</f>
        <v/>
      </c>
      <c r="I747">
        <v>2.5</v>
      </c>
      <c r="J747">
        <v>0</v>
      </c>
      <c r="K747" t="str">
        <f t="shared" ref="K747:K810" si="88">"31000"</f>
        <v>31000</v>
      </c>
      <c r="L747" t="str">
        <f t="shared" si="87"/>
        <v>0</v>
      </c>
      <c r="M747" t="str">
        <f t="shared" si="87"/>
        <v>0</v>
      </c>
      <c r="N747" t="str">
        <f t="shared" si="87"/>
        <v>0</v>
      </c>
    </row>
    <row r="748" spans="1:14" x14ac:dyDescent="0.3">
      <c r="A748" t="s">
        <v>17</v>
      </c>
      <c r="B748" t="s">
        <v>18</v>
      </c>
      <c r="C748" t="str">
        <f t="shared" si="85"/>
        <v>400</v>
      </c>
      <c r="D748" t="str">
        <f>"612404"</f>
        <v>612404</v>
      </c>
      <c r="E748" t="s">
        <v>19</v>
      </c>
      <c r="F748" t="s">
        <v>721</v>
      </c>
      <c r="G748">
        <v>250</v>
      </c>
      <c r="H748" t="str">
        <f>""</f>
        <v/>
      </c>
      <c r="I748">
        <v>6.5</v>
      </c>
      <c r="J748">
        <v>0</v>
      </c>
      <c r="K748" t="str">
        <f t="shared" si="88"/>
        <v>31000</v>
      </c>
      <c r="L748" t="str">
        <f t="shared" si="87"/>
        <v>0</v>
      </c>
      <c r="M748" t="str">
        <f t="shared" si="87"/>
        <v>0</v>
      </c>
      <c r="N748" t="str">
        <f t="shared" si="87"/>
        <v>0</v>
      </c>
    </row>
    <row r="749" spans="1:14" x14ac:dyDescent="0.3">
      <c r="A749" t="s">
        <v>17</v>
      </c>
      <c r="B749" t="s">
        <v>18</v>
      </c>
      <c r="C749" t="str">
        <f t="shared" si="85"/>
        <v>400</v>
      </c>
      <c r="D749" t="str">
        <f>"612421"</f>
        <v>612421</v>
      </c>
      <c r="E749" t="s">
        <v>19</v>
      </c>
      <c r="F749" t="s">
        <v>722</v>
      </c>
      <c r="G749">
        <v>250</v>
      </c>
      <c r="H749" t="str">
        <f>""</f>
        <v/>
      </c>
      <c r="I749">
        <v>10.5</v>
      </c>
      <c r="J749">
        <v>0</v>
      </c>
      <c r="K749" t="str">
        <f t="shared" si="88"/>
        <v>31000</v>
      </c>
      <c r="L749" t="str">
        <f t="shared" si="87"/>
        <v>0</v>
      </c>
      <c r="M749" t="str">
        <f t="shared" si="87"/>
        <v>0</v>
      </c>
      <c r="N749" t="str">
        <f t="shared" si="87"/>
        <v>0</v>
      </c>
    </row>
    <row r="750" spans="1:14" x14ac:dyDescent="0.3">
      <c r="A750" t="s">
        <v>17</v>
      </c>
      <c r="B750" t="s">
        <v>18</v>
      </c>
      <c r="C750" t="str">
        <f t="shared" si="85"/>
        <v>400</v>
      </c>
      <c r="D750" t="str">
        <f>"612422"</f>
        <v>612422</v>
      </c>
      <c r="E750" t="s">
        <v>19</v>
      </c>
      <c r="F750" t="s">
        <v>723</v>
      </c>
      <c r="G750">
        <v>250</v>
      </c>
      <c r="H750" t="str">
        <f>""</f>
        <v/>
      </c>
      <c r="I750">
        <v>14.5</v>
      </c>
      <c r="J750">
        <v>0</v>
      </c>
      <c r="K750" t="str">
        <f t="shared" si="88"/>
        <v>31000</v>
      </c>
      <c r="L750" t="str">
        <f t="shared" ref="L750:N759" si="89">"0"</f>
        <v>0</v>
      </c>
      <c r="M750" t="str">
        <f t="shared" si="89"/>
        <v>0</v>
      </c>
      <c r="N750" t="str">
        <f t="shared" si="89"/>
        <v>0</v>
      </c>
    </row>
    <row r="751" spans="1:14" x14ac:dyDescent="0.3">
      <c r="A751" t="s">
        <v>17</v>
      </c>
      <c r="B751" t="s">
        <v>18</v>
      </c>
      <c r="C751" t="str">
        <f t="shared" si="85"/>
        <v>400</v>
      </c>
      <c r="D751" t="str">
        <f>"612423"</f>
        <v>612423</v>
      </c>
      <c r="E751" t="s">
        <v>19</v>
      </c>
      <c r="F751" t="s">
        <v>724</v>
      </c>
      <c r="G751">
        <v>250</v>
      </c>
      <c r="H751" t="str">
        <f>""</f>
        <v/>
      </c>
      <c r="I751">
        <v>10.45</v>
      </c>
      <c r="J751">
        <v>0</v>
      </c>
      <c r="K751" t="str">
        <f t="shared" si="88"/>
        <v>31000</v>
      </c>
      <c r="L751" t="str">
        <f t="shared" si="89"/>
        <v>0</v>
      </c>
      <c r="M751" t="str">
        <f t="shared" si="89"/>
        <v>0</v>
      </c>
      <c r="N751" t="str">
        <f t="shared" si="89"/>
        <v>0</v>
      </c>
    </row>
    <row r="752" spans="1:14" x14ac:dyDescent="0.3">
      <c r="A752" t="s">
        <v>17</v>
      </c>
      <c r="B752" t="s">
        <v>18</v>
      </c>
      <c r="C752" t="str">
        <f t="shared" si="85"/>
        <v>400</v>
      </c>
      <c r="D752" t="str">
        <f>"612424"</f>
        <v>612424</v>
      </c>
      <c r="E752" t="s">
        <v>19</v>
      </c>
      <c r="F752" t="s">
        <v>725</v>
      </c>
      <c r="G752">
        <v>250</v>
      </c>
      <c r="H752" t="str">
        <f>""</f>
        <v/>
      </c>
      <c r="I752">
        <v>98.1</v>
      </c>
      <c r="J752">
        <v>0</v>
      </c>
      <c r="K752" t="str">
        <f t="shared" si="88"/>
        <v>31000</v>
      </c>
      <c r="L752" t="str">
        <f t="shared" si="89"/>
        <v>0</v>
      </c>
      <c r="M752" t="str">
        <f t="shared" si="89"/>
        <v>0</v>
      </c>
      <c r="N752" t="str">
        <f t="shared" si="89"/>
        <v>0</v>
      </c>
    </row>
    <row r="753" spans="1:14" x14ac:dyDescent="0.3">
      <c r="A753" t="s">
        <v>17</v>
      </c>
      <c r="B753" t="s">
        <v>18</v>
      </c>
      <c r="C753" t="str">
        <f t="shared" si="85"/>
        <v>400</v>
      </c>
      <c r="D753" t="str">
        <f>"612425"</f>
        <v>612425</v>
      </c>
      <c r="E753" t="s">
        <v>19</v>
      </c>
      <c r="F753" t="s">
        <v>726</v>
      </c>
      <c r="G753">
        <v>250</v>
      </c>
      <c r="H753" t="str">
        <f>""</f>
        <v/>
      </c>
      <c r="I753">
        <v>12.5</v>
      </c>
      <c r="J753">
        <v>0</v>
      </c>
      <c r="K753" t="str">
        <f t="shared" si="88"/>
        <v>31000</v>
      </c>
      <c r="L753" t="str">
        <f t="shared" si="89"/>
        <v>0</v>
      </c>
      <c r="M753" t="str">
        <f t="shared" si="89"/>
        <v>0</v>
      </c>
      <c r="N753" t="str">
        <f t="shared" si="89"/>
        <v>0</v>
      </c>
    </row>
    <row r="754" spans="1:14" x14ac:dyDescent="0.3">
      <c r="A754" t="s">
        <v>17</v>
      </c>
      <c r="B754" t="s">
        <v>18</v>
      </c>
      <c r="C754" t="str">
        <f t="shared" si="85"/>
        <v>400</v>
      </c>
      <c r="D754" t="str">
        <f>"612426"</f>
        <v>612426</v>
      </c>
      <c r="E754" t="s">
        <v>19</v>
      </c>
      <c r="F754" t="s">
        <v>727</v>
      </c>
      <c r="G754">
        <v>250</v>
      </c>
      <c r="H754" t="str">
        <f>""</f>
        <v/>
      </c>
      <c r="I754">
        <v>12.5</v>
      </c>
      <c r="J754">
        <v>0</v>
      </c>
      <c r="K754" t="str">
        <f t="shared" si="88"/>
        <v>31000</v>
      </c>
      <c r="L754" t="str">
        <f t="shared" si="89"/>
        <v>0</v>
      </c>
      <c r="M754" t="str">
        <f t="shared" si="89"/>
        <v>0</v>
      </c>
      <c r="N754" t="str">
        <f t="shared" si="89"/>
        <v>0</v>
      </c>
    </row>
    <row r="755" spans="1:14" x14ac:dyDescent="0.3">
      <c r="A755" t="s">
        <v>17</v>
      </c>
      <c r="B755" t="s">
        <v>18</v>
      </c>
      <c r="C755" t="str">
        <f t="shared" si="85"/>
        <v>400</v>
      </c>
      <c r="D755" t="str">
        <f>"612433"</f>
        <v>612433</v>
      </c>
      <c r="E755" t="s">
        <v>19</v>
      </c>
      <c r="F755" t="s">
        <v>728</v>
      </c>
      <c r="G755">
        <v>250</v>
      </c>
      <c r="H755" t="str">
        <f>""</f>
        <v/>
      </c>
      <c r="I755">
        <v>7.5</v>
      </c>
      <c r="J755">
        <v>0</v>
      </c>
      <c r="K755" t="str">
        <f t="shared" si="88"/>
        <v>31000</v>
      </c>
      <c r="L755" t="str">
        <f t="shared" si="89"/>
        <v>0</v>
      </c>
      <c r="M755" t="str">
        <f t="shared" si="89"/>
        <v>0</v>
      </c>
      <c r="N755" t="str">
        <f t="shared" si="89"/>
        <v>0</v>
      </c>
    </row>
    <row r="756" spans="1:14" x14ac:dyDescent="0.3">
      <c r="A756" t="s">
        <v>17</v>
      </c>
      <c r="B756" t="s">
        <v>18</v>
      </c>
      <c r="C756" t="str">
        <f t="shared" si="85"/>
        <v>400</v>
      </c>
      <c r="D756" t="str">
        <f>"612438"</f>
        <v>612438</v>
      </c>
      <c r="E756" t="s">
        <v>19</v>
      </c>
      <c r="F756" t="s">
        <v>729</v>
      </c>
      <c r="G756">
        <v>250</v>
      </c>
      <c r="H756" t="str">
        <f>""</f>
        <v/>
      </c>
      <c r="I756">
        <v>13.65</v>
      </c>
      <c r="J756">
        <v>0</v>
      </c>
      <c r="K756" t="str">
        <f t="shared" si="88"/>
        <v>31000</v>
      </c>
      <c r="L756" t="str">
        <f t="shared" si="89"/>
        <v>0</v>
      </c>
      <c r="M756" t="str">
        <f t="shared" si="89"/>
        <v>0</v>
      </c>
      <c r="N756" t="str">
        <f t="shared" si="89"/>
        <v>0</v>
      </c>
    </row>
    <row r="757" spans="1:14" x14ac:dyDescent="0.3">
      <c r="A757" t="s">
        <v>17</v>
      </c>
      <c r="B757" t="s">
        <v>18</v>
      </c>
      <c r="C757" t="str">
        <f t="shared" si="85"/>
        <v>400</v>
      </c>
      <c r="D757" t="str">
        <f>"612444"</f>
        <v>612444</v>
      </c>
      <c r="E757" t="s">
        <v>19</v>
      </c>
      <c r="F757" t="s">
        <v>730</v>
      </c>
      <c r="G757">
        <v>250</v>
      </c>
      <c r="H757" t="str">
        <f>""</f>
        <v/>
      </c>
      <c r="I757">
        <v>153.80000000000001</v>
      </c>
      <c r="J757">
        <v>0</v>
      </c>
      <c r="K757" t="str">
        <f t="shared" si="88"/>
        <v>31000</v>
      </c>
      <c r="L757" t="str">
        <f t="shared" si="89"/>
        <v>0</v>
      </c>
      <c r="M757" t="str">
        <f t="shared" si="89"/>
        <v>0</v>
      </c>
      <c r="N757" t="str">
        <f t="shared" si="89"/>
        <v>0</v>
      </c>
    </row>
    <row r="758" spans="1:14" x14ac:dyDescent="0.3">
      <c r="A758" t="s">
        <v>17</v>
      </c>
      <c r="B758" t="s">
        <v>18</v>
      </c>
      <c r="C758" t="str">
        <f t="shared" si="85"/>
        <v>400</v>
      </c>
      <c r="D758" t="str">
        <f>"612450"</f>
        <v>612450</v>
      </c>
      <c r="E758" t="s">
        <v>19</v>
      </c>
      <c r="F758" t="s">
        <v>731</v>
      </c>
      <c r="G758">
        <v>250</v>
      </c>
      <c r="H758" t="str">
        <f>""</f>
        <v/>
      </c>
      <c r="I758">
        <v>53.99</v>
      </c>
      <c r="J758">
        <v>0</v>
      </c>
      <c r="K758" t="str">
        <f t="shared" si="88"/>
        <v>31000</v>
      </c>
      <c r="L758" t="str">
        <f t="shared" si="89"/>
        <v>0</v>
      </c>
      <c r="M758" t="str">
        <f t="shared" si="89"/>
        <v>0</v>
      </c>
      <c r="N758" t="str">
        <f t="shared" si="89"/>
        <v>0</v>
      </c>
    </row>
    <row r="759" spans="1:14" x14ac:dyDescent="0.3">
      <c r="A759" t="s">
        <v>17</v>
      </c>
      <c r="B759" t="s">
        <v>18</v>
      </c>
      <c r="C759" t="str">
        <f t="shared" si="85"/>
        <v>400</v>
      </c>
      <c r="D759" t="str">
        <f>"612451"</f>
        <v>612451</v>
      </c>
      <c r="E759" t="s">
        <v>19</v>
      </c>
      <c r="F759" t="s">
        <v>732</v>
      </c>
      <c r="G759">
        <v>250</v>
      </c>
      <c r="H759" t="str">
        <f>""</f>
        <v/>
      </c>
      <c r="I759">
        <v>5.88</v>
      </c>
      <c r="J759">
        <v>0</v>
      </c>
      <c r="K759" t="str">
        <f t="shared" si="88"/>
        <v>31000</v>
      </c>
      <c r="L759" t="str">
        <f t="shared" si="89"/>
        <v>0</v>
      </c>
      <c r="M759" t="str">
        <f t="shared" si="89"/>
        <v>0</v>
      </c>
      <c r="N759" t="str">
        <f t="shared" si="89"/>
        <v>0</v>
      </c>
    </row>
    <row r="760" spans="1:14" x14ac:dyDescent="0.3">
      <c r="A760" t="s">
        <v>17</v>
      </c>
      <c r="B760" t="s">
        <v>18</v>
      </c>
      <c r="C760" t="str">
        <f t="shared" si="85"/>
        <v>400</v>
      </c>
      <c r="D760" t="str">
        <f>"612452"</f>
        <v>612452</v>
      </c>
      <c r="E760" t="s">
        <v>19</v>
      </c>
      <c r="F760" t="s">
        <v>733</v>
      </c>
      <c r="G760">
        <v>250</v>
      </c>
      <c r="I760">
        <v>239.28</v>
      </c>
      <c r="J760">
        <v>0</v>
      </c>
      <c r="K760" t="str">
        <f t="shared" si="88"/>
        <v>31000</v>
      </c>
    </row>
    <row r="761" spans="1:14" x14ac:dyDescent="0.3">
      <c r="A761" t="s">
        <v>17</v>
      </c>
      <c r="B761" t="s">
        <v>18</v>
      </c>
      <c r="C761" t="str">
        <f t="shared" si="85"/>
        <v>400</v>
      </c>
      <c r="D761" t="str">
        <f>"612458"</f>
        <v>612458</v>
      </c>
      <c r="E761" t="s">
        <v>19</v>
      </c>
      <c r="F761" t="s">
        <v>734</v>
      </c>
      <c r="G761">
        <v>250</v>
      </c>
      <c r="H761" t="str">
        <f>""</f>
        <v/>
      </c>
      <c r="I761">
        <v>13.99</v>
      </c>
      <c r="J761">
        <v>0</v>
      </c>
      <c r="K761" t="str">
        <f t="shared" si="88"/>
        <v>31000</v>
      </c>
      <c r="L761" t="str">
        <f t="shared" ref="L761:N780" si="90">"0"</f>
        <v>0</v>
      </c>
      <c r="M761" t="str">
        <f t="shared" si="90"/>
        <v>0</v>
      </c>
      <c r="N761" t="str">
        <f t="shared" si="90"/>
        <v>0</v>
      </c>
    </row>
    <row r="762" spans="1:14" x14ac:dyDescent="0.3">
      <c r="A762" t="s">
        <v>17</v>
      </c>
      <c r="B762" t="s">
        <v>18</v>
      </c>
      <c r="C762" t="str">
        <f t="shared" si="85"/>
        <v>400</v>
      </c>
      <c r="D762" t="str">
        <f>"612460"</f>
        <v>612460</v>
      </c>
      <c r="E762" t="s">
        <v>19</v>
      </c>
      <c r="F762" t="s">
        <v>735</v>
      </c>
      <c r="G762">
        <v>250</v>
      </c>
      <c r="H762" t="str">
        <f>""</f>
        <v/>
      </c>
      <c r="I762">
        <v>13.85</v>
      </c>
      <c r="J762">
        <v>0</v>
      </c>
      <c r="K762" t="str">
        <f t="shared" si="88"/>
        <v>31000</v>
      </c>
      <c r="L762" t="str">
        <f t="shared" si="90"/>
        <v>0</v>
      </c>
      <c r="M762" t="str">
        <f t="shared" si="90"/>
        <v>0</v>
      </c>
      <c r="N762" t="str">
        <f t="shared" si="90"/>
        <v>0</v>
      </c>
    </row>
    <row r="763" spans="1:14" x14ac:dyDescent="0.3">
      <c r="A763" t="s">
        <v>17</v>
      </c>
      <c r="B763" t="s">
        <v>18</v>
      </c>
      <c r="C763" t="str">
        <f t="shared" si="85"/>
        <v>400</v>
      </c>
      <c r="D763" t="str">
        <f>"612478"</f>
        <v>612478</v>
      </c>
      <c r="E763" t="s">
        <v>19</v>
      </c>
      <c r="F763" t="s">
        <v>736</v>
      </c>
      <c r="G763">
        <v>250</v>
      </c>
      <c r="H763" t="str">
        <f>""</f>
        <v/>
      </c>
      <c r="I763">
        <v>5.95</v>
      </c>
      <c r="J763">
        <v>0</v>
      </c>
      <c r="K763" t="str">
        <f t="shared" si="88"/>
        <v>31000</v>
      </c>
      <c r="L763" t="str">
        <f t="shared" si="90"/>
        <v>0</v>
      </c>
      <c r="M763" t="str">
        <f t="shared" si="90"/>
        <v>0</v>
      </c>
      <c r="N763" t="str">
        <f t="shared" si="90"/>
        <v>0</v>
      </c>
    </row>
    <row r="764" spans="1:14" x14ac:dyDescent="0.3">
      <c r="A764" t="s">
        <v>17</v>
      </c>
      <c r="B764" t="s">
        <v>18</v>
      </c>
      <c r="C764" t="str">
        <f t="shared" si="85"/>
        <v>400</v>
      </c>
      <c r="D764" t="str">
        <f>"612480"</f>
        <v>612480</v>
      </c>
      <c r="E764" t="s">
        <v>19</v>
      </c>
      <c r="F764" t="s">
        <v>737</v>
      </c>
      <c r="G764">
        <v>250</v>
      </c>
      <c r="H764" t="str">
        <f>""</f>
        <v/>
      </c>
      <c r="I764">
        <v>29.95</v>
      </c>
      <c r="J764">
        <v>0</v>
      </c>
      <c r="K764" t="str">
        <f t="shared" si="88"/>
        <v>31000</v>
      </c>
      <c r="L764" t="str">
        <f t="shared" si="90"/>
        <v>0</v>
      </c>
      <c r="M764" t="str">
        <f t="shared" si="90"/>
        <v>0</v>
      </c>
      <c r="N764" t="str">
        <f t="shared" si="90"/>
        <v>0</v>
      </c>
    </row>
    <row r="765" spans="1:14" x14ac:dyDescent="0.3">
      <c r="A765" t="s">
        <v>17</v>
      </c>
      <c r="B765" t="s">
        <v>18</v>
      </c>
      <c r="C765" t="str">
        <f t="shared" si="85"/>
        <v>400</v>
      </c>
      <c r="D765" t="str">
        <f>"612481"</f>
        <v>612481</v>
      </c>
      <c r="E765" t="s">
        <v>19</v>
      </c>
      <c r="F765" t="s">
        <v>738</v>
      </c>
      <c r="G765">
        <v>250</v>
      </c>
      <c r="H765" t="str">
        <f>""</f>
        <v/>
      </c>
      <c r="I765">
        <v>56</v>
      </c>
      <c r="J765">
        <v>0</v>
      </c>
      <c r="K765" t="str">
        <f t="shared" si="88"/>
        <v>31000</v>
      </c>
      <c r="L765" t="str">
        <f t="shared" si="90"/>
        <v>0</v>
      </c>
      <c r="M765" t="str">
        <f t="shared" si="90"/>
        <v>0</v>
      </c>
      <c r="N765" t="str">
        <f t="shared" si="90"/>
        <v>0</v>
      </c>
    </row>
    <row r="766" spans="1:14" x14ac:dyDescent="0.3">
      <c r="A766" t="s">
        <v>17</v>
      </c>
      <c r="B766" t="s">
        <v>18</v>
      </c>
      <c r="C766" t="str">
        <f t="shared" si="85"/>
        <v>400</v>
      </c>
      <c r="D766" t="str">
        <f>"612485"</f>
        <v>612485</v>
      </c>
      <c r="E766" t="s">
        <v>19</v>
      </c>
      <c r="F766" t="s">
        <v>739</v>
      </c>
      <c r="G766">
        <v>250</v>
      </c>
      <c r="H766" t="str">
        <f>""</f>
        <v/>
      </c>
      <c r="I766">
        <v>604.91999999999996</v>
      </c>
      <c r="J766">
        <v>0</v>
      </c>
      <c r="K766" t="str">
        <f t="shared" si="88"/>
        <v>31000</v>
      </c>
      <c r="L766" t="str">
        <f t="shared" si="90"/>
        <v>0</v>
      </c>
      <c r="M766" t="str">
        <f t="shared" si="90"/>
        <v>0</v>
      </c>
      <c r="N766" t="str">
        <f t="shared" si="90"/>
        <v>0</v>
      </c>
    </row>
    <row r="767" spans="1:14" x14ac:dyDescent="0.3">
      <c r="A767" t="s">
        <v>17</v>
      </c>
      <c r="B767" t="s">
        <v>18</v>
      </c>
      <c r="C767" t="str">
        <f t="shared" si="85"/>
        <v>400</v>
      </c>
      <c r="D767" t="str">
        <f>"612486"</f>
        <v>612486</v>
      </c>
      <c r="E767" t="s">
        <v>19</v>
      </c>
      <c r="F767" t="s">
        <v>740</v>
      </c>
      <c r="G767">
        <v>250</v>
      </c>
      <c r="H767" t="str">
        <f>""</f>
        <v/>
      </c>
      <c r="I767">
        <v>7.5</v>
      </c>
      <c r="J767">
        <v>0</v>
      </c>
      <c r="K767" t="str">
        <f t="shared" si="88"/>
        <v>31000</v>
      </c>
      <c r="L767" t="str">
        <f t="shared" si="90"/>
        <v>0</v>
      </c>
      <c r="M767" t="str">
        <f t="shared" si="90"/>
        <v>0</v>
      </c>
      <c r="N767" t="str">
        <f t="shared" si="90"/>
        <v>0</v>
      </c>
    </row>
    <row r="768" spans="1:14" x14ac:dyDescent="0.3">
      <c r="A768" t="s">
        <v>17</v>
      </c>
      <c r="B768" t="s">
        <v>18</v>
      </c>
      <c r="C768" t="str">
        <f t="shared" si="85"/>
        <v>400</v>
      </c>
      <c r="D768" t="str">
        <f>"612489"</f>
        <v>612489</v>
      </c>
      <c r="E768" t="s">
        <v>19</v>
      </c>
      <c r="F768" t="s">
        <v>741</v>
      </c>
      <c r="G768">
        <v>250</v>
      </c>
      <c r="H768" t="str">
        <f>""</f>
        <v/>
      </c>
      <c r="I768">
        <v>6.5</v>
      </c>
      <c r="J768">
        <v>0</v>
      </c>
      <c r="K768" t="str">
        <f t="shared" si="88"/>
        <v>31000</v>
      </c>
      <c r="L768" t="str">
        <f t="shared" si="90"/>
        <v>0</v>
      </c>
      <c r="M768" t="str">
        <f t="shared" si="90"/>
        <v>0</v>
      </c>
      <c r="N768" t="str">
        <f t="shared" si="90"/>
        <v>0</v>
      </c>
    </row>
    <row r="769" spans="1:14" x14ac:dyDescent="0.3">
      <c r="A769" t="s">
        <v>17</v>
      </c>
      <c r="B769" t="s">
        <v>18</v>
      </c>
      <c r="C769" t="str">
        <f t="shared" si="85"/>
        <v>400</v>
      </c>
      <c r="D769" t="str">
        <f>"612510"</f>
        <v>612510</v>
      </c>
      <c r="E769" t="s">
        <v>19</v>
      </c>
      <c r="F769" t="s">
        <v>742</v>
      </c>
      <c r="G769">
        <v>250</v>
      </c>
      <c r="H769" t="str">
        <f>""</f>
        <v/>
      </c>
      <c r="I769">
        <v>4.5</v>
      </c>
      <c r="J769">
        <v>0</v>
      </c>
      <c r="K769" t="str">
        <f t="shared" si="88"/>
        <v>31000</v>
      </c>
      <c r="L769" t="str">
        <f t="shared" si="90"/>
        <v>0</v>
      </c>
      <c r="M769" t="str">
        <f t="shared" si="90"/>
        <v>0</v>
      </c>
      <c r="N769" t="str">
        <f t="shared" si="90"/>
        <v>0</v>
      </c>
    </row>
    <row r="770" spans="1:14" x14ac:dyDescent="0.3">
      <c r="A770" t="s">
        <v>17</v>
      </c>
      <c r="B770" t="s">
        <v>18</v>
      </c>
      <c r="C770" t="str">
        <f t="shared" ref="C770:C833" si="91">"400"</f>
        <v>400</v>
      </c>
      <c r="D770" t="str">
        <f>"612525"</f>
        <v>612525</v>
      </c>
      <c r="E770" t="s">
        <v>19</v>
      </c>
      <c r="F770" t="s">
        <v>743</v>
      </c>
      <c r="G770">
        <v>250</v>
      </c>
      <c r="H770" t="str">
        <f>""</f>
        <v/>
      </c>
      <c r="I770">
        <v>4.5</v>
      </c>
      <c r="J770">
        <v>0</v>
      </c>
      <c r="K770" t="str">
        <f t="shared" si="88"/>
        <v>31000</v>
      </c>
      <c r="L770" t="str">
        <f t="shared" si="90"/>
        <v>0</v>
      </c>
      <c r="M770" t="str">
        <f t="shared" si="90"/>
        <v>0</v>
      </c>
      <c r="N770" t="str">
        <f t="shared" si="90"/>
        <v>0</v>
      </c>
    </row>
    <row r="771" spans="1:14" x14ac:dyDescent="0.3">
      <c r="A771" t="s">
        <v>17</v>
      </c>
      <c r="B771" t="s">
        <v>18</v>
      </c>
      <c r="C771" t="str">
        <f t="shared" si="91"/>
        <v>400</v>
      </c>
      <c r="D771" t="str">
        <f>"612544"</f>
        <v>612544</v>
      </c>
      <c r="E771" t="s">
        <v>19</v>
      </c>
      <c r="F771" t="s">
        <v>744</v>
      </c>
      <c r="G771">
        <v>250</v>
      </c>
      <c r="H771" t="str">
        <f>""</f>
        <v/>
      </c>
      <c r="I771">
        <v>276.66000000000003</v>
      </c>
      <c r="J771">
        <v>0</v>
      </c>
      <c r="K771" t="str">
        <f t="shared" si="88"/>
        <v>31000</v>
      </c>
      <c r="L771" t="str">
        <f t="shared" si="90"/>
        <v>0</v>
      </c>
      <c r="M771" t="str">
        <f t="shared" si="90"/>
        <v>0</v>
      </c>
      <c r="N771" t="str">
        <f t="shared" si="90"/>
        <v>0</v>
      </c>
    </row>
    <row r="772" spans="1:14" x14ac:dyDescent="0.3">
      <c r="A772" t="s">
        <v>17</v>
      </c>
      <c r="B772" t="s">
        <v>18</v>
      </c>
      <c r="C772" t="str">
        <f t="shared" si="91"/>
        <v>400</v>
      </c>
      <c r="D772" t="str">
        <f>"612545"</f>
        <v>612545</v>
      </c>
      <c r="E772" t="s">
        <v>19</v>
      </c>
      <c r="F772" t="s">
        <v>745</v>
      </c>
      <c r="G772">
        <v>250</v>
      </c>
      <c r="H772" t="str">
        <f>""</f>
        <v/>
      </c>
      <c r="I772">
        <v>49</v>
      </c>
      <c r="J772">
        <v>0</v>
      </c>
      <c r="K772" t="str">
        <f t="shared" si="88"/>
        <v>31000</v>
      </c>
      <c r="L772" t="str">
        <f t="shared" si="90"/>
        <v>0</v>
      </c>
      <c r="M772" t="str">
        <f t="shared" si="90"/>
        <v>0</v>
      </c>
      <c r="N772" t="str">
        <f t="shared" si="90"/>
        <v>0</v>
      </c>
    </row>
    <row r="773" spans="1:14" x14ac:dyDescent="0.3">
      <c r="A773" t="s">
        <v>17</v>
      </c>
      <c r="B773" t="s">
        <v>18</v>
      </c>
      <c r="C773" t="str">
        <f t="shared" si="91"/>
        <v>400</v>
      </c>
      <c r="D773" t="str">
        <f>"612546"</f>
        <v>612546</v>
      </c>
      <c r="E773" t="s">
        <v>19</v>
      </c>
      <c r="F773" t="s">
        <v>746</v>
      </c>
      <c r="G773">
        <v>250</v>
      </c>
      <c r="H773" t="str">
        <f>""</f>
        <v/>
      </c>
      <c r="I773">
        <v>74</v>
      </c>
      <c r="J773">
        <v>0</v>
      </c>
      <c r="K773" t="str">
        <f t="shared" si="88"/>
        <v>31000</v>
      </c>
      <c r="L773" t="str">
        <f t="shared" si="90"/>
        <v>0</v>
      </c>
      <c r="M773" t="str">
        <f t="shared" si="90"/>
        <v>0</v>
      </c>
      <c r="N773" t="str">
        <f t="shared" si="90"/>
        <v>0</v>
      </c>
    </row>
    <row r="774" spans="1:14" x14ac:dyDescent="0.3">
      <c r="A774" t="s">
        <v>17</v>
      </c>
      <c r="B774" t="s">
        <v>18</v>
      </c>
      <c r="C774" t="str">
        <f t="shared" si="91"/>
        <v>400</v>
      </c>
      <c r="D774" t="str">
        <f>"612548"</f>
        <v>612548</v>
      </c>
      <c r="E774" t="s">
        <v>19</v>
      </c>
      <c r="F774" t="s">
        <v>747</v>
      </c>
      <c r="G774">
        <v>250</v>
      </c>
      <c r="H774" t="str">
        <f>""</f>
        <v/>
      </c>
      <c r="I774">
        <v>16</v>
      </c>
      <c r="J774">
        <v>0</v>
      </c>
      <c r="K774" t="str">
        <f t="shared" si="88"/>
        <v>31000</v>
      </c>
      <c r="L774" t="str">
        <f t="shared" si="90"/>
        <v>0</v>
      </c>
      <c r="M774" t="str">
        <f t="shared" si="90"/>
        <v>0</v>
      </c>
      <c r="N774" t="str">
        <f t="shared" si="90"/>
        <v>0</v>
      </c>
    </row>
    <row r="775" spans="1:14" x14ac:dyDescent="0.3">
      <c r="A775" t="s">
        <v>17</v>
      </c>
      <c r="B775" t="s">
        <v>18</v>
      </c>
      <c r="C775" t="str">
        <f t="shared" si="91"/>
        <v>400</v>
      </c>
      <c r="D775" t="str">
        <f>"612551"</f>
        <v>612551</v>
      </c>
      <c r="E775" t="s">
        <v>19</v>
      </c>
      <c r="F775" t="s">
        <v>748</v>
      </c>
      <c r="G775">
        <v>250</v>
      </c>
      <c r="H775" t="str">
        <f>""</f>
        <v/>
      </c>
      <c r="I775">
        <v>43</v>
      </c>
      <c r="J775">
        <v>0</v>
      </c>
      <c r="K775" t="str">
        <f t="shared" si="88"/>
        <v>31000</v>
      </c>
      <c r="L775" t="str">
        <f t="shared" si="90"/>
        <v>0</v>
      </c>
      <c r="M775" t="str">
        <f t="shared" si="90"/>
        <v>0</v>
      </c>
      <c r="N775" t="str">
        <f t="shared" si="90"/>
        <v>0</v>
      </c>
    </row>
    <row r="776" spans="1:14" x14ac:dyDescent="0.3">
      <c r="A776" t="s">
        <v>17</v>
      </c>
      <c r="B776" t="s">
        <v>18</v>
      </c>
      <c r="C776" t="str">
        <f t="shared" si="91"/>
        <v>400</v>
      </c>
      <c r="D776" t="str">
        <f>"612552"</f>
        <v>612552</v>
      </c>
      <c r="E776" t="s">
        <v>19</v>
      </c>
      <c r="F776" t="s">
        <v>749</v>
      </c>
      <c r="G776">
        <v>250</v>
      </c>
      <c r="H776" t="str">
        <f>""</f>
        <v/>
      </c>
      <c r="I776">
        <v>9.9499999999999993</v>
      </c>
      <c r="J776">
        <v>0</v>
      </c>
      <c r="K776" t="str">
        <f t="shared" si="88"/>
        <v>31000</v>
      </c>
      <c r="L776" t="str">
        <f t="shared" si="90"/>
        <v>0</v>
      </c>
      <c r="M776" t="str">
        <f t="shared" si="90"/>
        <v>0</v>
      </c>
      <c r="N776" t="str">
        <f t="shared" si="90"/>
        <v>0</v>
      </c>
    </row>
    <row r="777" spans="1:14" x14ac:dyDescent="0.3">
      <c r="A777" t="s">
        <v>17</v>
      </c>
      <c r="B777" t="s">
        <v>18</v>
      </c>
      <c r="C777" t="str">
        <f t="shared" si="91"/>
        <v>400</v>
      </c>
      <c r="D777" t="str">
        <f>"612553"</f>
        <v>612553</v>
      </c>
      <c r="E777" t="s">
        <v>19</v>
      </c>
      <c r="F777" t="s">
        <v>750</v>
      </c>
      <c r="G777">
        <v>250</v>
      </c>
      <c r="H777" t="str">
        <f>""</f>
        <v/>
      </c>
      <c r="I777">
        <v>12.75</v>
      </c>
      <c r="J777">
        <v>0</v>
      </c>
      <c r="K777" t="str">
        <f t="shared" si="88"/>
        <v>31000</v>
      </c>
      <c r="L777" t="str">
        <f t="shared" si="90"/>
        <v>0</v>
      </c>
      <c r="M777" t="str">
        <f t="shared" si="90"/>
        <v>0</v>
      </c>
      <c r="N777" t="str">
        <f t="shared" si="90"/>
        <v>0</v>
      </c>
    </row>
    <row r="778" spans="1:14" x14ac:dyDescent="0.3">
      <c r="A778" t="s">
        <v>17</v>
      </c>
      <c r="B778" t="s">
        <v>18</v>
      </c>
      <c r="C778" t="str">
        <f t="shared" si="91"/>
        <v>400</v>
      </c>
      <c r="D778" t="str">
        <f>"612554"</f>
        <v>612554</v>
      </c>
      <c r="E778" t="s">
        <v>19</v>
      </c>
      <c r="F778" t="s">
        <v>751</v>
      </c>
      <c r="G778">
        <v>250</v>
      </c>
      <c r="H778" t="str">
        <f>""</f>
        <v/>
      </c>
      <c r="I778">
        <v>4.5</v>
      </c>
      <c r="J778">
        <v>0</v>
      </c>
      <c r="K778" t="str">
        <f t="shared" si="88"/>
        <v>31000</v>
      </c>
      <c r="L778" t="str">
        <f t="shared" si="90"/>
        <v>0</v>
      </c>
      <c r="M778" t="str">
        <f t="shared" si="90"/>
        <v>0</v>
      </c>
      <c r="N778" t="str">
        <f t="shared" si="90"/>
        <v>0</v>
      </c>
    </row>
    <row r="779" spans="1:14" x14ac:dyDescent="0.3">
      <c r="A779" t="s">
        <v>17</v>
      </c>
      <c r="B779" t="s">
        <v>18</v>
      </c>
      <c r="C779" t="str">
        <f t="shared" si="91"/>
        <v>400</v>
      </c>
      <c r="D779" t="str">
        <f>"612555"</f>
        <v>612555</v>
      </c>
      <c r="E779" t="s">
        <v>19</v>
      </c>
      <c r="F779" t="s">
        <v>752</v>
      </c>
      <c r="G779">
        <v>250</v>
      </c>
      <c r="H779" t="str">
        <f>""</f>
        <v/>
      </c>
      <c r="I779">
        <v>6.6</v>
      </c>
      <c r="J779">
        <v>0</v>
      </c>
      <c r="K779" t="str">
        <f t="shared" si="88"/>
        <v>31000</v>
      </c>
      <c r="L779" t="str">
        <f t="shared" si="90"/>
        <v>0</v>
      </c>
      <c r="M779" t="str">
        <f t="shared" si="90"/>
        <v>0</v>
      </c>
      <c r="N779" t="str">
        <f t="shared" si="90"/>
        <v>0</v>
      </c>
    </row>
    <row r="780" spans="1:14" x14ac:dyDescent="0.3">
      <c r="A780" t="s">
        <v>17</v>
      </c>
      <c r="B780" t="s">
        <v>18</v>
      </c>
      <c r="C780" t="str">
        <f t="shared" si="91"/>
        <v>400</v>
      </c>
      <c r="D780" t="str">
        <f>"612560"</f>
        <v>612560</v>
      </c>
      <c r="E780" t="s">
        <v>19</v>
      </c>
      <c r="F780" t="s">
        <v>753</v>
      </c>
      <c r="G780">
        <v>250</v>
      </c>
      <c r="H780" t="str">
        <f>""</f>
        <v/>
      </c>
      <c r="I780">
        <v>4.5</v>
      </c>
      <c r="J780">
        <v>0</v>
      </c>
      <c r="K780" t="str">
        <f t="shared" si="88"/>
        <v>31000</v>
      </c>
      <c r="L780" t="str">
        <f t="shared" si="90"/>
        <v>0</v>
      </c>
      <c r="M780" t="str">
        <f t="shared" si="90"/>
        <v>0</v>
      </c>
      <c r="N780" t="str">
        <f t="shared" si="90"/>
        <v>0</v>
      </c>
    </row>
    <row r="781" spans="1:14" x14ac:dyDescent="0.3">
      <c r="A781" t="s">
        <v>17</v>
      </c>
      <c r="B781" t="s">
        <v>18</v>
      </c>
      <c r="C781" t="str">
        <f t="shared" si="91"/>
        <v>400</v>
      </c>
      <c r="D781" t="str">
        <f>"612561"</f>
        <v>612561</v>
      </c>
      <c r="E781" t="s">
        <v>19</v>
      </c>
      <c r="F781" t="s">
        <v>754</v>
      </c>
      <c r="G781">
        <v>250</v>
      </c>
      <c r="H781" t="str">
        <f>""</f>
        <v/>
      </c>
      <c r="I781">
        <v>4.5</v>
      </c>
      <c r="J781">
        <v>0</v>
      </c>
      <c r="K781" t="str">
        <f t="shared" si="88"/>
        <v>31000</v>
      </c>
      <c r="L781" t="str">
        <f t="shared" ref="L781:N800" si="92">"0"</f>
        <v>0</v>
      </c>
      <c r="M781" t="str">
        <f t="shared" si="92"/>
        <v>0</v>
      </c>
      <c r="N781" t="str">
        <f t="shared" si="92"/>
        <v>0</v>
      </c>
    </row>
    <row r="782" spans="1:14" x14ac:dyDescent="0.3">
      <c r="A782" t="s">
        <v>17</v>
      </c>
      <c r="B782" t="s">
        <v>18</v>
      </c>
      <c r="C782" t="str">
        <f t="shared" si="91"/>
        <v>400</v>
      </c>
      <c r="D782" t="str">
        <f>"612582"</f>
        <v>612582</v>
      </c>
      <c r="E782" t="s">
        <v>19</v>
      </c>
      <c r="F782" t="s">
        <v>755</v>
      </c>
      <c r="G782">
        <v>250</v>
      </c>
      <c r="H782" t="str">
        <f>""</f>
        <v/>
      </c>
      <c r="I782">
        <v>2.5</v>
      </c>
      <c r="J782">
        <v>0</v>
      </c>
      <c r="K782" t="str">
        <f t="shared" si="88"/>
        <v>31000</v>
      </c>
      <c r="L782" t="str">
        <f t="shared" si="92"/>
        <v>0</v>
      </c>
      <c r="M782" t="str">
        <f t="shared" si="92"/>
        <v>0</v>
      </c>
      <c r="N782" t="str">
        <f t="shared" si="92"/>
        <v>0</v>
      </c>
    </row>
    <row r="783" spans="1:14" x14ac:dyDescent="0.3">
      <c r="A783" t="s">
        <v>17</v>
      </c>
      <c r="B783" t="s">
        <v>18</v>
      </c>
      <c r="C783" t="str">
        <f t="shared" si="91"/>
        <v>400</v>
      </c>
      <c r="D783" t="str">
        <f>"612583"</f>
        <v>612583</v>
      </c>
      <c r="E783" t="s">
        <v>19</v>
      </c>
      <c r="F783" t="s">
        <v>756</v>
      </c>
      <c r="G783">
        <v>250</v>
      </c>
      <c r="H783" t="str">
        <f>""</f>
        <v/>
      </c>
      <c r="I783">
        <v>12.75</v>
      </c>
      <c r="J783">
        <v>0</v>
      </c>
      <c r="K783" t="str">
        <f t="shared" si="88"/>
        <v>31000</v>
      </c>
      <c r="L783" t="str">
        <f t="shared" si="92"/>
        <v>0</v>
      </c>
      <c r="M783" t="str">
        <f t="shared" si="92"/>
        <v>0</v>
      </c>
      <c r="N783" t="str">
        <f t="shared" si="92"/>
        <v>0</v>
      </c>
    </row>
    <row r="784" spans="1:14" x14ac:dyDescent="0.3">
      <c r="A784" t="s">
        <v>17</v>
      </c>
      <c r="B784" t="s">
        <v>18</v>
      </c>
      <c r="C784" t="str">
        <f t="shared" si="91"/>
        <v>400</v>
      </c>
      <c r="D784" t="str">
        <f>"612584"</f>
        <v>612584</v>
      </c>
      <c r="E784" t="s">
        <v>19</v>
      </c>
      <c r="F784" t="s">
        <v>757</v>
      </c>
      <c r="G784">
        <v>250</v>
      </c>
      <c r="H784" t="str">
        <f>""</f>
        <v/>
      </c>
      <c r="I784">
        <v>33.869999999999997</v>
      </c>
      <c r="J784">
        <v>0</v>
      </c>
      <c r="K784" t="str">
        <f t="shared" si="88"/>
        <v>31000</v>
      </c>
      <c r="L784" t="str">
        <f t="shared" si="92"/>
        <v>0</v>
      </c>
      <c r="M784" t="str">
        <f t="shared" si="92"/>
        <v>0</v>
      </c>
      <c r="N784" t="str">
        <f t="shared" si="92"/>
        <v>0</v>
      </c>
    </row>
    <row r="785" spans="1:14" x14ac:dyDescent="0.3">
      <c r="A785" t="s">
        <v>17</v>
      </c>
      <c r="B785" t="s">
        <v>18</v>
      </c>
      <c r="C785" t="str">
        <f t="shared" si="91"/>
        <v>400</v>
      </c>
      <c r="D785" t="str">
        <f>"612589"</f>
        <v>612589</v>
      </c>
      <c r="E785" t="s">
        <v>19</v>
      </c>
      <c r="F785" t="s">
        <v>758</v>
      </c>
      <c r="G785">
        <v>250</v>
      </c>
      <c r="H785" t="str">
        <f>""</f>
        <v/>
      </c>
      <c r="I785">
        <v>2.5</v>
      </c>
      <c r="J785">
        <v>0</v>
      </c>
      <c r="K785" t="str">
        <f t="shared" si="88"/>
        <v>31000</v>
      </c>
      <c r="L785" t="str">
        <f t="shared" si="92"/>
        <v>0</v>
      </c>
      <c r="M785" t="str">
        <f t="shared" si="92"/>
        <v>0</v>
      </c>
      <c r="N785" t="str">
        <f t="shared" si="92"/>
        <v>0</v>
      </c>
    </row>
    <row r="786" spans="1:14" x14ac:dyDescent="0.3">
      <c r="A786" t="s">
        <v>17</v>
      </c>
      <c r="B786" t="s">
        <v>18</v>
      </c>
      <c r="C786" t="str">
        <f t="shared" si="91"/>
        <v>400</v>
      </c>
      <c r="D786" t="str">
        <f>"612595"</f>
        <v>612595</v>
      </c>
      <c r="E786" t="s">
        <v>19</v>
      </c>
      <c r="F786" t="s">
        <v>759</v>
      </c>
      <c r="G786">
        <v>250</v>
      </c>
      <c r="H786" t="str">
        <f>""</f>
        <v/>
      </c>
      <c r="I786">
        <v>5.2</v>
      </c>
      <c r="J786">
        <v>0</v>
      </c>
      <c r="K786" t="str">
        <f t="shared" si="88"/>
        <v>31000</v>
      </c>
      <c r="L786" t="str">
        <f t="shared" si="92"/>
        <v>0</v>
      </c>
      <c r="M786" t="str">
        <f t="shared" si="92"/>
        <v>0</v>
      </c>
      <c r="N786" t="str">
        <f t="shared" si="92"/>
        <v>0</v>
      </c>
    </row>
    <row r="787" spans="1:14" x14ac:dyDescent="0.3">
      <c r="A787" t="s">
        <v>17</v>
      </c>
      <c r="B787" t="s">
        <v>18</v>
      </c>
      <c r="C787" t="str">
        <f t="shared" si="91"/>
        <v>400</v>
      </c>
      <c r="D787" t="str">
        <f>"612598"</f>
        <v>612598</v>
      </c>
      <c r="E787" t="s">
        <v>19</v>
      </c>
      <c r="F787" t="s">
        <v>760</v>
      </c>
      <c r="G787">
        <v>250</v>
      </c>
      <c r="H787" t="str">
        <f>""</f>
        <v/>
      </c>
      <c r="I787">
        <v>65.400000000000006</v>
      </c>
      <c r="J787">
        <v>0</v>
      </c>
      <c r="K787" t="str">
        <f t="shared" si="88"/>
        <v>31000</v>
      </c>
      <c r="L787" t="str">
        <f t="shared" si="92"/>
        <v>0</v>
      </c>
      <c r="M787" t="str">
        <f t="shared" si="92"/>
        <v>0</v>
      </c>
      <c r="N787" t="str">
        <f t="shared" si="92"/>
        <v>0</v>
      </c>
    </row>
    <row r="788" spans="1:14" x14ac:dyDescent="0.3">
      <c r="A788" t="s">
        <v>17</v>
      </c>
      <c r="B788" t="s">
        <v>18</v>
      </c>
      <c r="C788" t="str">
        <f t="shared" si="91"/>
        <v>400</v>
      </c>
      <c r="D788" t="str">
        <f>"612602"</f>
        <v>612602</v>
      </c>
      <c r="E788" t="s">
        <v>19</v>
      </c>
      <c r="F788" t="s">
        <v>761</v>
      </c>
      <c r="G788">
        <v>250</v>
      </c>
      <c r="H788" t="str">
        <f>""</f>
        <v/>
      </c>
      <c r="I788">
        <v>5.5</v>
      </c>
      <c r="J788">
        <v>0</v>
      </c>
      <c r="K788" t="str">
        <f t="shared" si="88"/>
        <v>31000</v>
      </c>
      <c r="L788" t="str">
        <f t="shared" si="92"/>
        <v>0</v>
      </c>
      <c r="M788" t="str">
        <f t="shared" si="92"/>
        <v>0</v>
      </c>
      <c r="N788" t="str">
        <f t="shared" si="92"/>
        <v>0</v>
      </c>
    </row>
    <row r="789" spans="1:14" x14ac:dyDescent="0.3">
      <c r="A789" t="s">
        <v>17</v>
      </c>
      <c r="B789" t="s">
        <v>18</v>
      </c>
      <c r="C789" t="str">
        <f t="shared" si="91"/>
        <v>400</v>
      </c>
      <c r="D789" t="str">
        <f>"612605"</f>
        <v>612605</v>
      </c>
      <c r="E789" t="s">
        <v>19</v>
      </c>
      <c r="F789" t="s">
        <v>762</v>
      </c>
      <c r="G789">
        <v>250</v>
      </c>
      <c r="H789" t="str">
        <f>""</f>
        <v/>
      </c>
      <c r="I789">
        <v>10.5</v>
      </c>
      <c r="J789">
        <v>0</v>
      </c>
      <c r="K789" t="str">
        <f t="shared" si="88"/>
        <v>31000</v>
      </c>
      <c r="L789" t="str">
        <f t="shared" si="92"/>
        <v>0</v>
      </c>
      <c r="M789" t="str">
        <f t="shared" si="92"/>
        <v>0</v>
      </c>
      <c r="N789" t="str">
        <f t="shared" si="92"/>
        <v>0</v>
      </c>
    </row>
    <row r="790" spans="1:14" x14ac:dyDescent="0.3">
      <c r="A790" t="s">
        <v>17</v>
      </c>
      <c r="B790" t="s">
        <v>18</v>
      </c>
      <c r="C790" t="str">
        <f t="shared" si="91"/>
        <v>400</v>
      </c>
      <c r="D790" t="str">
        <f>"612608"</f>
        <v>612608</v>
      </c>
      <c r="E790" t="s">
        <v>19</v>
      </c>
      <c r="F790" t="s">
        <v>763</v>
      </c>
      <c r="G790">
        <v>250</v>
      </c>
      <c r="H790" t="str">
        <f>""</f>
        <v/>
      </c>
      <c r="I790">
        <v>5.5</v>
      </c>
      <c r="J790">
        <v>0</v>
      </c>
      <c r="K790" t="str">
        <f t="shared" si="88"/>
        <v>31000</v>
      </c>
      <c r="L790" t="str">
        <f t="shared" si="92"/>
        <v>0</v>
      </c>
      <c r="M790" t="str">
        <f t="shared" si="92"/>
        <v>0</v>
      </c>
      <c r="N790" t="str">
        <f t="shared" si="92"/>
        <v>0</v>
      </c>
    </row>
    <row r="791" spans="1:14" x14ac:dyDescent="0.3">
      <c r="A791" t="s">
        <v>17</v>
      </c>
      <c r="B791" t="s">
        <v>18</v>
      </c>
      <c r="C791" t="str">
        <f t="shared" si="91"/>
        <v>400</v>
      </c>
      <c r="D791" t="str">
        <f>"612646"</f>
        <v>612646</v>
      </c>
      <c r="E791" t="s">
        <v>19</v>
      </c>
      <c r="F791" t="s">
        <v>764</v>
      </c>
      <c r="G791">
        <v>250</v>
      </c>
      <c r="H791" t="str">
        <f>""</f>
        <v/>
      </c>
      <c r="I791">
        <v>14.95</v>
      </c>
      <c r="J791">
        <v>0</v>
      </c>
      <c r="K791" t="str">
        <f t="shared" si="88"/>
        <v>31000</v>
      </c>
      <c r="L791" t="str">
        <f t="shared" si="92"/>
        <v>0</v>
      </c>
      <c r="M791" t="str">
        <f t="shared" si="92"/>
        <v>0</v>
      </c>
      <c r="N791" t="str">
        <f t="shared" si="92"/>
        <v>0</v>
      </c>
    </row>
    <row r="792" spans="1:14" x14ac:dyDescent="0.3">
      <c r="A792" t="s">
        <v>17</v>
      </c>
      <c r="B792" t="s">
        <v>18</v>
      </c>
      <c r="C792" t="str">
        <f t="shared" si="91"/>
        <v>400</v>
      </c>
      <c r="D792" t="str">
        <f>"612647"</f>
        <v>612647</v>
      </c>
      <c r="E792" t="s">
        <v>19</v>
      </c>
      <c r="F792" t="s">
        <v>765</v>
      </c>
      <c r="G792">
        <v>250</v>
      </c>
      <c r="H792" t="str">
        <f>""</f>
        <v/>
      </c>
      <c r="I792">
        <v>5.5</v>
      </c>
      <c r="J792">
        <v>0</v>
      </c>
      <c r="K792" t="str">
        <f t="shared" si="88"/>
        <v>31000</v>
      </c>
      <c r="L792" t="str">
        <f t="shared" si="92"/>
        <v>0</v>
      </c>
      <c r="M792" t="str">
        <f t="shared" si="92"/>
        <v>0</v>
      </c>
      <c r="N792" t="str">
        <f t="shared" si="92"/>
        <v>0</v>
      </c>
    </row>
    <row r="793" spans="1:14" x14ac:dyDescent="0.3">
      <c r="A793" t="s">
        <v>17</v>
      </c>
      <c r="B793" t="s">
        <v>18</v>
      </c>
      <c r="C793" t="str">
        <f t="shared" si="91"/>
        <v>400</v>
      </c>
      <c r="D793" t="str">
        <f>"612651"</f>
        <v>612651</v>
      </c>
      <c r="E793" t="s">
        <v>19</v>
      </c>
      <c r="F793" t="s">
        <v>766</v>
      </c>
      <c r="G793">
        <v>250</v>
      </c>
      <c r="H793" t="str">
        <f>""</f>
        <v/>
      </c>
      <c r="I793">
        <v>8.6999999999999993</v>
      </c>
      <c r="J793">
        <v>0</v>
      </c>
      <c r="K793" t="str">
        <f t="shared" si="88"/>
        <v>31000</v>
      </c>
      <c r="L793" t="str">
        <f t="shared" si="92"/>
        <v>0</v>
      </c>
      <c r="M793" t="str">
        <f t="shared" si="92"/>
        <v>0</v>
      </c>
      <c r="N793" t="str">
        <f t="shared" si="92"/>
        <v>0</v>
      </c>
    </row>
    <row r="794" spans="1:14" x14ac:dyDescent="0.3">
      <c r="A794" t="s">
        <v>17</v>
      </c>
      <c r="B794" t="s">
        <v>18</v>
      </c>
      <c r="C794" t="str">
        <f t="shared" si="91"/>
        <v>400</v>
      </c>
      <c r="D794" t="str">
        <f>"612652"</f>
        <v>612652</v>
      </c>
      <c r="E794" t="s">
        <v>19</v>
      </c>
      <c r="F794" t="s">
        <v>767</v>
      </c>
      <c r="G794">
        <v>250</v>
      </c>
      <c r="H794" t="str">
        <f>""</f>
        <v/>
      </c>
      <c r="I794">
        <v>15</v>
      </c>
      <c r="J794">
        <v>0</v>
      </c>
      <c r="K794" t="str">
        <f t="shared" si="88"/>
        <v>31000</v>
      </c>
      <c r="L794" t="str">
        <f t="shared" si="92"/>
        <v>0</v>
      </c>
      <c r="M794" t="str">
        <f t="shared" si="92"/>
        <v>0</v>
      </c>
      <c r="N794" t="str">
        <f t="shared" si="92"/>
        <v>0</v>
      </c>
    </row>
    <row r="795" spans="1:14" x14ac:dyDescent="0.3">
      <c r="A795" t="s">
        <v>17</v>
      </c>
      <c r="B795" t="s">
        <v>18</v>
      </c>
      <c r="C795" t="str">
        <f t="shared" si="91"/>
        <v>400</v>
      </c>
      <c r="D795" t="str">
        <f>"612653"</f>
        <v>612653</v>
      </c>
      <c r="E795" t="s">
        <v>19</v>
      </c>
      <c r="F795" t="s">
        <v>768</v>
      </c>
      <c r="G795">
        <v>250</v>
      </c>
      <c r="H795" t="str">
        <f>""</f>
        <v/>
      </c>
      <c r="I795">
        <v>12.75</v>
      </c>
      <c r="J795">
        <v>0</v>
      </c>
      <c r="K795" t="str">
        <f t="shared" si="88"/>
        <v>31000</v>
      </c>
      <c r="L795" t="str">
        <f t="shared" si="92"/>
        <v>0</v>
      </c>
      <c r="M795" t="str">
        <f t="shared" si="92"/>
        <v>0</v>
      </c>
      <c r="N795" t="str">
        <f t="shared" si="92"/>
        <v>0</v>
      </c>
    </row>
    <row r="796" spans="1:14" x14ac:dyDescent="0.3">
      <c r="A796" t="s">
        <v>17</v>
      </c>
      <c r="B796" t="s">
        <v>18</v>
      </c>
      <c r="C796" t="str">
        <f t="shared" si="91"/>
        <v>400</v>
      </c>
      <c r="D796" t="str">
        <f>"612660"</f>
        <v>612660</v>
      </c>
      <c r="E796" t="s">
        <v>19</v>
      </c>
      <c r="F796" t="s">
        <v>769</v>
      </c>
      <c r="G796">
        <v>250</v>
      </c>
      <c r="H796" t="str">
        <f>""</f>
        <v/>
      </c>
      <c r="I796">
        <v>12.75</v>
      </c>
      <c r="J796">
        <v>0</v>
      </c>
      <c r="K796" t="str">
        <f t="shared" si="88"/>
        <v>31000</v>
      </c>
      <c r="L796" t="str">
        <f t="shared" si="92"/>
        <v>0</v>
      </c>
      <c r="M796" t="str">
        <f t="shared" si="92"/>
        <v>0</v>
      </c>
      <c r="N796" t="str">
        <f t="shared" si="92"/>
        <v>0</v>
      </c>
    </row>
    <row r="797" spans="1:14" x14ac:dyDescent="0.3">
      <c r="A797" t="s">
        <v>17</v>
      </c>
      <c r="B797" t="s">
        <v>18</v>
      </c>
      <c r="C797" t="str">
        <f t="shared" si="91"/>
        <v>400</v>
      </c>
      <c r="D797" t="str">
        <f>"612662"</f>
        <v>612662</v>
      </c>
      <c r="E797" t="s">
        <v>19</v>
      </c>
      <c r="F797" t="s">
        <v>770</v>
      </c>
      <c r="G797">
        <v>250</v>
      </c>
      <c r="H797" t="str">
        <f>""</f>
        <v/>
      </c>
      <c r="I797">
        <v>389</v>
      </c>
      <c r="J797">
        <v>0</v>
      </c>
      <c r="K797" t="str">
        <f t="shared" si="88"/>
        <v>31000</v>
      </c>
      <c r="L797" t="str">
        <f t="shared" si="92"/>
        <v>0</v>
      </c>
      <c r="M797" t="str">
        <f t="shared" si="92"/>
        <v>0</v>
      </c>
      <c r="N797" t="str">
        <f t="shared" si="92"/>
        <v>0</v>
      </c>
    </row>
    <row r="798" spans="1:14" x14ac:dyDescent="0.3">
      <c r="A798" t="s">
        <v>17</v>
      </c>
      <c r="B798" t="s">
        <v>18</v>
      </c>
      <c r="C798" t="str">
        <f t="shared" si="91"/>
        <v>400</v>
      </c>
      <c r="D798" t="str">
        <f>"612663"</f>
        <v>612663</v>
      </c>
      <c r="E798" t="s">
        <v>19</v>
      </c>
      <c r="F798" t="s">
        <v>771</v>
      </c>
      <c r="G798">
        <v>250</v>
      </c>
      <c r="H798" t="str">
        <f>""</f>
        <v/>
      </c>
      <c r="I798">
        <v>12.75</v>
      </c>
      <c r="J798">
        <v>0</v>
      </c>
      <c r="K798" t="str">
        <f t="shared" si="88"/>
        <v>31000</v>
      </c>
      <c r="L798" t="str">
        <f t="shared" si="92"/>
        <v>0</v>
      </c>
      <c r="M798" t="str">
        <f t="shared" si="92"/>
        <v>0</v>
      </c>
      <c r="N798" t="str">
        <f t="shared" si="92"/>
        <v>0</v>
      </c>
    </row>
    <row r="799" spans="1:14" x14ac:dyDescent="0.3">
      <c r="A799" t="s">
        <v>17</v>
      </c>
      <c r="B799" t="s">
        <v>18</v>
      </c>
      <c r="C799" t="str">
        <f t="shared" si="91"/>
        <v>400</v>
      </c>
      <c r="D799" t="str">
        <f>"612664"</f>
        <v>612664</v>
      </c>
      <c r="E799" t="s">
        <v>19</v>
      </c>
      <c r="F799" t="s">
        <v>772</v>
      </c>
      <c r="G799">
        <v>250</v>
      </c>
      <c r="H799" t="str">
        <f>""</f>
        <v/>
      </c>
      <c r="I799">
        <v>4.5</v>
      </c>
      <c r="J799">
        <v>0</v>
      </c>
      <c r="K799" t="str">
        <f t="shared" si="88"/>
        <v>31000</v>
      </c>
      <c r="L799" t="str">
        <f t="shared" si="92"/>
        <v>0</v>
      </c>
      <c r="M799" t="str">
        <f t="shared" si="92"/>
        <v>0</v>
      </c>
      <c r="N799" t="str">
        <f t="shared" si="92"/>
        <v>0</v>
      </c>
    </row>
    <row r="800" spans="1:14" x14ac:dyDescent="0.3">
      <c r="A800" t="s">
        <v>17</v>
      </c>
      <c r="B800" t="s">
        <v>18</v>
      </c>
      <c r="C800" t="str">
        <f t="shared" si="91"/>
        <v>400</v>
      </c>
      <c r="D800" t="str">
        <f>"612665"</f>
        <v>612665</v>
      </c>
      <c r="E800" t="s">
        <v>19</v>
      </c>
      <c r="F800" t="s">
        <v>773</v>
      </c>
      <c r="G800">
        <v>250</v>
      </c>
      <c r="H800" t="str">
        <f>""</f>
        <v/>
      </c>
      <c r="I800">
        <v>12.75</v>
      </c>
      <c r="J800">
        <v>0</v>
      </c>
      <c r="K800" t="str">
        <f t="shared" si="88"/>
        <v>31000</v>
      </c>
      <c r="L800" t="str">
        <f t="shared" si="92"/>
        <v>0</v>
      </c>
      <c r="M800" t="str">
        <f t="shared" si="92"/>
        <v>0</v>
      </c>
      <c r="N800" t="str">
        <f t="shared" si="92"/>
        <v>0</v>
      </c>
    </row>
    <row r="801" spans="1:14" x14ac:dyDescent="0.3">
      <c r="A801" t="s">
        <v>17</v>
      </c>
      <c r="B801" t="s">
        <v>18</v>
      </c>
      <c r="C801" t="str">
        <f t="shared" si="91"/>
        <v>400</v>
      </c>
      <c r="D801" t="str">
        <f>"612666"</f>
        <v>612666</v>
      </c>
      <c r="E801" t="s">
        <v>19</v>
      </c>
      <c r="F801" t="s">
        <v>774</v>
      </c>
      <c r="G801">
        <v>250</v>
      </c>
      <c r="H801" t="str">
        <f>""</f>
        <v/>
      </c>
      <c r="I801">
        <v>14.95</v>
      </c>
      <c r="J801">
        <v>0</v>
      </c>
      <c r="K801" t="str">
        <f t="shared" si="88"/>
        <v>31000</v>
      </c>
      <c r="L801" t="str">
        <f t="shared" ref="L801:N820" si="93">"0"</f>
        <v>0</v>
      </c>
      <c r="M801" t="str">
        <f t="shared" si="93"/>
        <v>0</v>
      </c>
      <c r="N801" t="str">
        <f t="shared" si="93"/>
        <v>0</v>
      </c>
    </row>
    <row r="802" spans="1:14" x14ac:dyDescent="0.3">
      <c r="A802" t="s">
        <v>17</v>
      </c>
      <c r="B802" t="s">
        <v>18</v>
      </c>
      <c r="C802" t="str">
        <f t="shared" si="91"/>
        <v>400</v>
      </c>
      <c r="D802" t="str">
        <f>"612667"</f>
        <v>612667</v>
      </c>
      <c r="E802" t="s">
        <v>19</v>
      </c>
      <c r="F802" t="s">
        <v>775</v>
      </c>
      <c r="G802">
        <v>250</v>
      </c>
      <c r="H802" t="str">
        <f>""</f>
        <v/>
      </c>
      <c r="I802">
        <v>4.5</v>
      </c>
      <c r="J802">
        <v>0</v>
      </c>
      <c r="K802" t="str">
        <f t="shared" si="88"/>
        <v>31000</v>
      </c>
      <c r="L802" t="str">
        <f t="shared" si="93"/>
        <v>0</v>
      </c>
      <c r="M802" t="str">
        <f t="shared" si="93"/>
        <v>0</v>
      </c>
      <c r="N802" t="str">
        <f t="shared" si="93"/>
        <v>0</v>
      </c>
    </row>
    <row r="803" spans="1:14" x14ac:dyDescent="0.3">
      <c r="A803" t="s">
        <v>17</v>
      </c>
      <c r="B803" t="s">
        <v>18</v>
      </c>
      <c r="C803" t="str">
        <f t="shared" si="91"/>
        <v>400</v>
      </c>
      <c r="D803" t="str">
        <f>"612668"</f>
        <v>612668</v>
      </c>
      <c r="E803" t="s">
        <v>19</v>
      </c>
      <c r="F803" t="s">
        <v>776</v>
      </c>
      <c r="G803">
        <v>250</v>
      </c>
      <c r="H803" t="str">
        <f>""</f>
        <v/>
      </c>
      <c r="I803">
        <v>11.8</v>
      </c>
      <c r="J803">
        <v>0</v>
      </c>
      <c r="K803" t="str">
        <f t="shared" si="88"/>
        <v>31000</v>
      </c>
      <c r="L803" t="str">
        <f t="shared" si="93"/>
        <v>0</v>
      </c>
      <c r="M803" t="str">
        <f t="shared" si="93"/>
        <v>0</v>
      </c>
      <c r="N803" t="str">
        <f t="shared" si="93"/>
        <v>0</v>
      </c>
    </row>
    <row r="804" spans="1:14" x14ac:dyDescent="0.3">
      <c r="A804" t="s">
        <v>17</v>
      </c>
      <c r="B804" t="s">
        <v>18</v>
      </c>
      <c r="C804" t="str">
        <f t="shared" si="91"/>
        <v>400</v>
      </c>
      <c r="D804" t="str">
        <f>"612669"</f>
        <v>612669</v>
      </c>
      <c r="E804" t="s">
        <v>19</v>
      </c>
      <c r="F804" t="s">
        <v>777</v>
      </c>
      <c r="G804">
        <v>250</v>
      </c>
      <c r="H804" t="str">
        <f>""</f>
        <v/>
      </c>
      <c r="I804">
        <v>13.85</v>
      </c>
      <c r="J804">
        <v>0</v>
      </c>
      <c r="K804" t="str">
        <f t="shared" si="88"/>
        <v>31000</v>
      </c>
      <c r="L804" t="str">
        <f t="shared" si="93"/>
        <v>0</v>
      </c>
      <c r="M804" t="str">
        <f t="shared" si="93"/>
        <v>0</v>
      </c>
      <c r="N804" t="str">
        <f t="shared" si="93"/>
        <v>0</v>
      </c>
    </row>
    <row r="805" spans="1:14" x14ac:dyDescent="0.3">
      <c r="A805" t="s">
        <v>17</v>
      </c>
      <c r="B805" t="s">
        <v>18</v>
      </c>
      <c r="C805" t="str">
        <f t="shared" si="91"/>
        <v>400</v>
      </c>
      <c r="D805" t="str">
        <f>"612670"</f>
        <v>612670</v>
      </c>
      <c r="E805" t="s">
        <v>19</v>
      </c>
      <c r="F805" t="s">
        <v>778</v>
      </c>
      <c r="G805">
        <v>250</v>
      </c>
      <c r="H805" t="str">
        <f>""</f>
        <v/>
      </c>
      <c r="I805">
        <v>4.5</v>
      </c>
      <c r="J805">
        <v>0</v>
      </c>
      <c r="K805" t="str">
        <f t="shared" si="88"/>
        <v>31000</v>
      </c>
      <c r="L805" t="str">
        <f t="shared" si="93"/>
        <v>0</v>
      </c>
      <c r="M805" t="str">
        <f t="shared" si="93"/>
        <v>0</v>
      </c>
      <c r="N805" t="str">
        <f t="shared" si="93"/>
        <v>0</v>
      </c>
    </row>
    <row r="806" spans="1:14" x14ac:dyDescent="0.3">
      <c r="A806" t="s">
        <v>17</v>
      </c>
      <c r="B806" t="s">
        <v>18</v>
      </c>
      <c r="C806" t="str">
        <f t="shared" si="91"/>
        <v>400</v>
      </c>
      <c r="D806" t="str">
        <f>"612671"</f>
        <v>612671</v>
      </c>
      <c r="E806" t="s">
        <v>19</v>
      </c>
      <c r="F806" t="s">
        <v>779</v>
      </c>
      <c r="G806">
        <v>250</v>
      </c>
      <c r="H806" t="str">
        <f>""</f>
        <v/>
      </c>
      <c r="I806">
        <v>12.75</v>
      </c>
      <c r="J806">
        <v>0</v>
      </c>
      <c r="K806" t="str">
        <f t="shared" si="88"/>
        <v>31000</v>
      </c>
      <c r="L806" t="str">
        <f t="shared" si="93"/>
        <v>0</v>
      </c>
      <c r="M806" t="str">
        <f t="shared" si="93"/>
        <v>0</v>
      </c>
      <c r="N806" t="str">
        <f t="shared" si="93"/>
        <v>0</v>
      </c>
    </row>
    <row r="807" spans="1:14" x14ac:dyDescent="0.3">
      <c r="A807" t="s">
        <v>17</v>
      </c>
      <c r="B807" t="s">
        <v>18</v>
      </c>
      <c r="C807" t="str">
        <f t="shared" si="91"/>
        <v>400</v>
      </c>
      <c r="D807" t="str">
        <f>"612672"</f>
        <v>612672</v>
      </c>
      <c r="E807" t="s">
        <v>19</v>
      </c>
      <c r="F807" t="s">
        <v>780</v>
      </c>
      <c r="G807">
        <v>250</v>
      </c>
      <c r="H807" t="str">
        <f>""</f>
        <v/>
      </c>
      <c r="I807">
        <v>6.6</v>
      </c>
      <c r="J807">
        <v>0</v>
      </c>
      <c r="K807" t="str">
        <f t="shared" si="88"/>
        <v>31000</v>
      </c>
      <c r="L807" t="str">
        <f t="shared" si="93"/>
        <v>0</v>
      </c>
      <c r="M807" t="str">
        <f t="shared" si="93"/>
        <v>0</v>
      </c>
      <c r="N807" t="str">
        <f t="shared" si="93"/>
        <v>0</v>
      </c>
    </row>
    <row r="808" spans="1:14" x14ac:dyDescent="0.3">
      <c r="A808" t="s">
        <v>17</v>
      </c>
      <c r="B808" t="s">
        <v>18</v>
      </c>
      <c r="C808" t="str">
        <f t="shared" si="91"/>
        <v>400</v>
      </c>
      <c r="D808" t="str">
        <f>"612673"</f>
        <v>612673</v>
      </c>
      <c r="E808" t="s">
        <v>19</v>
      </c>
      <c r="F808" t="s">
        <v>781</v>
      </c>
      <c r="G808">
        <v>250</v>
      </c>
      <c r="H808" t="str">
        <f>""</f>
        <v/>
      </c>
      <c r="I808">
        <v>2.5</v>
      </c>
      <c r="J808">
        <v>0</v>
      </c>
      <c r="K808" t="str">
        <f t="shared" si="88"/>
        <v>31000</v>
      </c>
      <c r="L808" t="str">
        <f t="shared" si="93"/>
        <v>0</v>
      </c>
      <c r="M808" t="str">
        <f t="shared" si="93"/>
        <v>0</v>
      </c>
      <c r="N808" t="str">
        <f t="shared" si="93"/>
        <v>0</v>
      </c>
    </row>
    <row r="809" spans="1:14" x14ac:dyDescent="0.3">
      <c r="A809" t="s">
        <v>17</v>
      </c>
      <c r="B809" t="s">
        <v>18</v>
      </c>
      <c r="C809" t="str">
        <f t="shared" si="91"/>
        <v>400</v>
      </c>
      <c r="D809" t="str">
        <f>"612674"</f>
        <v>612674</v>
      </c>
      <c r="E809" t="s">
        <v>19</v>
      </c>
      <c r="F809" t="s">
        <v>782</v>
      </c>
      <c r="G809">
        <v>250</v>
      </c>
      <c r="H809" t="str">
        <f>""</f>
        <v/>
      </c>
      <c r="I809">
        <v>5.95</v>
      </c>
      <c r="J809">
        <v>0</v>
      </c>
      <c r="K809" t="str">
        <f t="shared" si="88"/>
        <v>31000</v>
      </c>
      <c r="L809" t="str">
        <f t="shared" si="93"/>
        <v>0</v>
      </c>
      <c r="M809" t="str">
        <f t="shared" si="93"/>
        <v>0</v>
      </c>
      <c r="N809" t="str">
        <f t="shared" si="93"/>
        <v>0</v>
      </c>
    </row>
    <row r="810" spans="1:14" x14ac:dyDescent="0.3">
      <c r="A810" t="s">
        <v>17</v>
      </c>
      <c r="B810" t="s">
        <v>18</v>
      </c>
      <c r="C810" t="str">
        <f t="shared" si="91"/>
        <v>400</v>
      </c>
      <c r="D810" t="str">
        <f>"612676"</f>
        <v>612676</v>
      </c>
      <c r="E810" t="s">
        <v>19</v>
      </c>
      <c r="F810" t="s">
        <v>783</v>
      </c>
      <c r="G810">
        <v>250</v>
      </c>
      <c r="H810" t="str">
        <f>""</f>
        <v/>
      </c>
      <c r="I810">
        <v>2.5</v>
      </c>
      <c r="J810">
        <v>0</v>
      </c>
      <c r="K810" t="str">
        <f t="shared" si="88"/>
        <v>31000</v>
      </c>
      <c r="L810" t="str">
        <f t="shared" si="93"/>
        <v>0</v>
      </c>
      <c r="M810" t="str">
        <f t="shared" si="93"/>
        <v>0</v>
      </c>
      <c r="N810" t="str">
        <f t="shared" si="93"/>
        <v>0</v>
      </c>
    </row>
    <row r="811" spans="1:14" x14ac:dyDescent="0.3">
      <c r="A811" t="s">
        <v>17</v>
      </c>
      <c r="B811" t="s">
        <v>18</v>
      </c>
      <c r="C811" t="str">
        <f t="shared" si="91"/>
        <v>400</v>
      </c>
      <c r="D811" t="str">
        <f>"612678"</f>
        <v>612678</v>
      </c>
      <c r="E811" t="s">
        <v>19</v>
      </c>
      <c r="F811" t="s">
        <v>784</v>
      </c>
      <c r="G811">
        <v>250</v>
      </c>
      <c r="H811" t="str">
        <f>""</f>
        <v/>
      </c>
      <c r="I811">
        <v>12.8</v>
      </c>
      <c r="J811">
        <v>0</v>
      </c>
      <c r="K811" t="str">
        <f t="shared" ref="K811:K874" si="94">"31000"</f>
        <v>31000</v>
      </c>
      <c r="L811" t="str">
        <f t="shared" si="93"/>
        <v>0</v>
      </c>
      <c r="M811" t="str">
        <f t="shared" si="93"/>
        <v>0</v>
      </c>
      <c r="N811" t="str">
        <f t="shared" si="93"/>
        <v>0</v>
      </c>
    </row>
    <row r="812" spans="1:14" x14ac:dyDescent="0.3">
      <c r="A812" t="s">
        <v>17</v>
      </c>
      <c r="B812" t="s">
        <v>18</v>
      </c>
      <c r="C812" t="str">
        <f t="shared" si="91"/>
        <v>400</v>
      </c>
      <c r="D812" t="str">
        <f>"612680"</f>
        <v>612680</v>
      </c>
      <c r="E812" t="s">
        <v>19</v>
      </c>
      <c r="F812" t="s">
        <v>785</v>
      </c>
      <c r="G812">
        <v>250</v>
      </c>
      <c r="H812" t="str">
        <f>""</f>
        <v/>
      </c>
      <c r="I812">
        <v>6.5</v>
      </c>
      <c r="J812">
        <v>0</v>
      </c>
      <c r="K812" t="str">
        <f t="shared" si="94"/>
        <v>31000</v>
      </c>
      <c r="L812" t="str">
        <f t="shared" si="93"/>
        <v>0</v>
      </c>
      <c r="M812" t="str">
        <f t="shared" si="93"/>
        <v>0</v>
      </c>
      <c r="N812" t="str">
        <f t="shared" si="93"/>
        <v>0</v>
      </c>
    </row>
    <row r="813" spans="1:14" x14ac:dyDescent="0.3">
      <c r="A813" t="s">
        <v>17</v>
      </c>
      <c r="B813" t="s">
        <v>18</v>
      </c>
      <c r="C813" t="str">
        <f t="shared" si="91"/>
        <v>400</v>
      </c>
      <c r="D813" t="str">
        <f>"612685"</f>
        <v>612685</v>
      </c>
      <c r="E813" t="s">
        <v>19</v>
      </c>
      <c r="F813" t="s">
        <v>786</v>
      </c>
      <c r="G813">
        <v>250</v>
      </c>
      <c r="H813" t="str">
        <f>""</f>
        <v/>
      </c>
      <c r="I813">
        <v>21.9</v>
      </c>
      <c r="J813">
        <v>0</v>
      </c>
      <c r="K813" t="str">
        <f t="shared" si="94"/>
        <v>31000</v>
      </c>
      <c r="L813" t="str">
        <f t="shared" si="93"/>
        <v>0</v>
      </c>
      <c r="M813" t="str">
        <f t="shared" si="93"/>
        <v>0</v>
      </c>
      <c r="N813" t="str">
        <f t="shared" si="93"/>
        <v>0</v>
      </c>
    </row>
    <row r="814" spans="1:14" x14ac:dyDescent="0.3">
      <c r="A814" t="s">
        <v>17</v>
      </c>
      <c r="B814" t="s">
        <v>18</v>
      </c>
      <c r="C814" t="str">
        <f t="shared" si="91"/>
        <v>400</v>
      </c>
      <c r="D814" t="str">
        <f>"612686"</f>
        <v>612686</v>
      </c>
      <c r="E814" t="s">
        <v>19</v>
      </c>
      <c r="F814" t="s">
        <v>787</v>
      </c>
      <c r="G814">
        <v>250</v>
      </c>
      <c r="H814" t="str">
        <f>""</f>
        <v/>
      </c>
      <c r="I814">
        <v>2.5</v>
      </c>
      <c r="J814">
        <v>0</v>
      </c>
      <c r="K814" t="str">
        <f t="shared" si="94"/>
        <v>31000</v>
      </c>
      <c r="L814" t="str">
        <f t="shared" si="93"/>
        <v>0</v>
      </c>
      <c r="M814" t="str">
        <f t="shared" si="93"/>
        <v>0</v>
      </c>
      <c r="N814" t="str">
        <f t="shared" si="93"/>
        <v>0</v>
      </c>
    </row>
    <row r="815" spans="1:14" x14ac:dyDescent="0.3">
      <c r="A815" t="s">
        <v>17</v>
      </c>
      <c r="B815" t="s">
        <v>18</v>
      </c>
      <c r="C815" t="str">
        <f t="shared" si="91"/>
        <v>400</v>
      </c>
      <c r="D815" t="str">
        <f>"612687"</f>
        <v>612687</v>
      </c>
      <c r="E815" t="s">
        <v>19</v>
      </c>
      <c r="F815" t="s">
        <v>788</v>
      </c>
      <c r="G815">
        <v>250</v>
      </c>
      <c r="H815" t="str">
        <f>""</f>
        <v/>
      </c>
      <c r="I815">
        <v>4.5</v>
      </c>
      <c r="J815">
        <v>0</v>
      </c>
      <c r="K815" t="str">
        <f t="shared" si="94"/>
        <v>31000</v>
      </c>
      <c r="L815" t="str">
        <f t="shared" si="93"/>
        <v>0</v>
      </c>
      <c r="M815" t="str">
        <f t="shared" si="93"/>
        <v>0</v>
      </c>
      <c r="N815" t="str">
        <f t="shared" si="93"/>
        <v>0</v>
      </c>
    </row>
    <row r="816" spans="1:14" x14ac:dyDescent="0.3">
      <c r="A816" t="s">
        <v>17</v>
      </c>
      <c r="B816" t="s">
        <v>18</v>
      </c>
      <c r="C816" t="str">
        <f t="shared" si="91"/>
        <v>400</v>
      </c>
      <c r="D816" t="str">
        <f>"612688"</f>
        <v>612688</v>
      </c>
      <c r="E816" t="s">
        <v>19</v>
      </c>
      <c r="F816" t="s">
        <v>789</v>
      </c>
      <c r="G816">
        <v>250</v>
      </c>
      <c r="H816" t="str">
        <f>""</f>
        <v/>
      </c>
      <c r="I816">
        <v>13.85</v>
      </c>
      <c r="J816">
        <v>0</v>
      </c>
      <c r="K816" t="str">
        <f t="shared" si="94"/>
        <v>31000</v>
      </c>
      <c r="L816" t="str">
        <f t="shared" si="93"/>
        <v>0</v>
      </c>
      <c r="M816" t="str">
        <f t="shared" si="93"/>
        <v>0</v>
      </c>
      <c r="N816" t="str">
        <f t="shared" si="93"/>
        <v>0</v>
      </c>
    </row>
    <row r="817" spans="1:14" x14ac:dyDescent="0.3">
      <c r="A817" t="s">
        <v>17</v>
      </c>
      <c r="B817" t="s">
        <v>18</v>
      </c>
      <c r="C817" t="str">
        <f t="shared" si="91"/>
        <v>400</v>
      </c>
      <c r="D817" t="str">
        <f>"612698"</f>
        <v>612698</v>
      </c>
      <c r="E817" t="s">
        <v>19</v>
      </c>
      <c r="F817" t="s">
        <v>790</v>
      </c>
      <c r="G817">
        <v>250</v>
      </c>
      <c r="H817" t="str">
        <f>""</f>
        <v/>
      </c>
      <c r="I817">
        <v>12.8</v>
      </c>
      <c r="J817">
        <v>0</v>
      </c>
      <c r="K817" t="str">
        <f t="shared" si="94"/>
        <v>31000</v>
      </c>
      <c r="L817" t="str">
        <f t="shared" si="93"/>
        <v>0</v>
      </c>
      <c r="M817" t="str">
        <f t="shared" si="93"/>
        <v>0</v>
      </c>
      <c r="N817" t="str">
        <f t="shared" si="93"/>
        <v>0</v>
      </c>
    </row>
    <row r="818" spans="1:14" x14ac:dyDescent="0.3">
      <c r="A818" t="s">
        <v>17</v>
      </c>
      <c r="B818" t="s">
        <v>18</v>
      </c>
      <c r="C818" t="str">
        <f t="shared" si="91"/>
        <v>400</v>
      </c>
      <c r="D818" t="str">
        <f>"612699"</f>
        <v>612699</v>
      </c>
      <c r="E818" t="s">
        <v>19</v>
      </c>
      <c r="F818" t="s">
        <v>791</v>
      </c>
      <c r="G818">
        <v>250</v>
      </c>
      <c r="H818" t="str">
        <f>""</f>
        <v/>
      </c>
      <c r="I818">
        <v>13.6</v>
      </c>
      <c r="J818">
        <v>0</v>
      </c>
      <c r="K818" t="str">
        <f t="shared" si="94"/>
        <v>31000</v>
      </c>
      <c r="L818" t="str">
        <f t="shared" si="93"/>
        <v>0</v>
      </c>
      <c r="M818" t="str">
        <f t="shared" si="93"/>
        <v>0</v>
      </c>
      <c r="N818" t="str">
        <f t="shared" si="93"/>
        <v>0</v>
      </c>
    </row>
    <row r="819" spans="1:14" x14ac:dyDescent="0.3">
      <c r="A819" t="s">
        <v>17</v>
      </c>
      <c r="B819" t="s">
        <v>18</v>
      </c>
      <c r="C819" t="str">
        <f t="shared" si="91"/>
        <v>400</v>
      </c>
      <c r="D819" t="str">
        <f>"612702"</f>
        <v>612702</v>
      </c>
      <c r="E819" t="s">
        <v>19</v>
      </c>
      <c r="F819" t="s">
        <v>792</v>
      </c>
      <c r="G819">
        <v>250</v>
      </c>
      <c r="H819" t="str">
        <f>""</f>
        <v/>
      </c>
      <c r="I819">
        <v>4.5</v>
      </c>
      <c r="J819">
        <v>0</v>
      </c>
      <c r="K819" t="str">
        <f t="shared" si="94"/>
        <v>31000</v>
      </c>
      <c r="L819" t="str">
        <f t="shared" si="93"/>
        <v>0</v>
      </c>
      <c r="M819" t="str">
        <f t="shared" si="93"/>
        <v>0</v>
      </c>
      <c r="N819" t="str">
        <f t="shared" si="93"/>
        <v>0</v>
      </c>
    </row>
    <row r="820" spans="1:14" x14ac:dyDescent="0.3">
      <c r="A820" t="s">
        <v>17</v>
      </c>
      <c r="B820" t="s">
        <v>18</v>
      </c>
      <c r="C820" t="str">
        <f t="shared" si="91"/>
        <v>400</v>
      </c>
      <c r="D820" t="str">
        <f>"612722"</f>
        <v>612722</v>
      </c>
      <c r="E820" t="s">
        <v>19</v>
      </c>
      <c r="F820" t="s">
        <v>793</v>
      </c>
      <c r="G820">
        <v>250</v>
      </c>
      <c r="H820" t="str">
        <f>""</f>
        <v/>
      </c>
      <c r="I820">
        <v>12.9</v>
      </c>
      <c r="J820">
        <v>0</v>
      </c>
      <c r="K820" t="str">
        <f t="shared" si="94"/>
        <v>31000</v>
      </c>
      <c r="L820" t="str">
        <f t="shared" si="93"/>
        <v>0</v>
      </c>
      <c r="M820" t="str">
        <f t="shared" si="93"/>
        <v>0</v>
      </c>
      <c r="N820" t="str">
        <f t="shared" si="93"/>
        <v>0</v>
      </c>
    </row>
    <row r="821" spans="1:14" x14ac:dyDescent="0.3">
      <c r="A821" t="s">
        <v>17</v>
      </c>
      <c r="B821" t="s">
        <v>18</v>
      </c>
      <c r="C821" t="str">
        <f t="shared" si="91"/>
        <v>400</v>
      </c>
      <c r="D821" t="str">
        <f>"612752"</f>
        <v>612752</v>
      </c>
      <c r="E821" t="s">
        <v>19</v>
      </c>
      <c r="F821" t="s">
        <v>794</v>
      </c>
      <c r="G821">
        <v>250</v>
      </c>
      <c r="H821" t="str">
        <f>""</f>
        <v/>
      </c>
      <c r="I821">
        <v>5.99</v>
      </c>
      <c r="J821">
        <v>0</v>
      </c>
      <c r="K821" t="str">
        <f t="shared" si="94"/>
        <v>31000</v>
      </c>
      <c r="L821" t="str">
        <f t="shared" ref="L821:N840" si="95">"0"</f>
        <v>0</v>
      </c>
      <c r="M821" t="str">
        <f t="shared" si="95"/>
        <v>0</v>
      </c>
      <c r="N821" t="str">
        <f t="shared" si="95"/>
        <v>0</v>
      </c>
    </row>
    <row r="822" spans="1:14" x14ac:dyDescent="0.3">
      <c r="A822" t="s">
        <v>17</v>
      </c>
      <c r="B822" t="s">
        <v>18</v>
      </c>
      <c r="C822" t="str">
        <f t="shared" si="91"/>
        <v>400</v>
      </c>
      <c r="D822" t="str">
        <f>"612753"</f>
        <v>612753</v>
      </c>
      <c r="E822" t="s">
        <v>19</v>
      </c>
      <c r="F822" t="s">
        <v>795</v>
      </c>
      <c r="G822">
        <v>250</v>
      </c>
      <c r="H822" t="str">
        <f>""</f>
        <v/>
      </c>
      <c r="I822">
        <v>65</v>
      </c>
      <c r="J822">
        <v>0</v>
      </c>
      <c r="K822" t="str">
        <f t="shared" si="94"/>
        <v>31000</v>
      </c>
      <c r="L822" t="str">
        <f t="shared" si="95"/>
        <v>0</v>
      </c>
      <c r="M822" t="str">
        <f t="shared" si="95"/>
        <v>0</v>
      </c>
      <c r="N822" t="str">
        <f t="shared" si="95"/>
        <v>0</v>
      </c>
    </row>
    <row r="823" spans="1:14" x14ac:dyDescent="0.3">
      <c r="A823" t="s">
        <v>17</v>
      </c>
      <c r="B823" t="s">
        <v>18</v>
      </c>
      <c r="C823" t="str">
        <f t="shared" si="91"/>
        <v>400</v>
      </c>
      <c r="D823" t="str">
        <f>"612755"</f>
        <v>612755</v>
      </c>
      <c r="E823" t="s">
        <v>19</v>
      </c>
      <c r="F823" t="s">
        <v>796</v>
      </c>
      <c r="G823">
        <v>250</v>
      </c>
      <c r="H823" t="str">
        <f>""</f>
        <v/>
      </c>
      <c r="I823">
        <v>8</v>
      </c>
      <c r="J823">
        <v>0</v>
      </c>
      <c r="K823" t="str">
        <f t="shared" si="94"/>
        <v>31000</v>
      </c>
      <c r="L823" t="str">
        <f t="shared" si="95"/>
        <v>0</v>
      </c>
      <c r="M823" t="str">
        <f t="shared" si="95"/>
        <v>0</v>
      </c>
      <c r="N823" t="str">
        <f t="shared" si="95"/>
        <v>0</v>
      </c>
    </row>
    <row r="824" spans="1:14" x14ac:dyDescent="0.3">
      <c r="A824" t="s">
        <v>17</v>
      </c>
      <c r="B824" t="s">
        <v>18</v>
      </c>
      <c r="C824" t="str">
        <f t="shared" si="91"/>
        <v>400</v>
      </c>
      <c r="D824" t="str">
        <f>"612760"</f>
        <v>612760</v>
      </c>
      <c r="E824" t="s">
        <v>19</v>
      </c>
      <c r="F824" t="s">
        <v>797</v>
      </c>
      <c r="G824">
        <v>250</v>
      </c>
      <c r="H824" t="str">
        <f>""</f>
        <v/>
      </c>
      <c r="I824">
        <v>328</v>
      </c>
      <c r="J824">
        <v>0</v>
      </c>
      <c r="K824" t="str">
        <f t="shared" si="94"/>
        <v>31000</v>
      </c>
      <c r="L824" t="str">
        <f t="shared" si="95"/>
        <v>0</v>
      </c>
      <c r="M824" t="str">
        <f t="shared" si="95"/>
        <v>0</v>
      </c>
      <c r="N824" t="str">
        <f t="shared" si="95"/>
        <v>0</v>
      </c>
    </row>
    <row r="825" spans="1:14" x14ac:dyDescent="0.3">
      <c r="A825" t="s">
        <v>17</v>
      </c>
      <c r="B825" t="s">
        <v>18</v>
      </c>
      <c r="C825" t="str">
        <f t="shared" si="91"/>
        <v>400</v>
      </c>
      <c r="D825" t="str">
        <f>"612761"</f>
        <v>612761</v>
      </c>
      <c r="E825" t="s">
        <v>19</v>
      </c>
      <c r="F825" t="s">
        <v>798</v>
      </c>
      <c r="G825">
        <v>250</v>
      </c>
      <c r="H825" t="str">
        <f>""</f>
        <v/>
      </c>
      <c r="I825">
        <v>126</v>
      </c>
      <c r="J825">
        <v>0</v>
      </c>
      <c r="K825" t="str">
        <f t="shared" si="94"/>
        <v>31000</v>
      </c>
      <c r="L825" t="str">
        <f t="shared" si="95"/>
        <v>0</v>
      </c>
      <c r="M825" t="str">
        <f t="shared" si="95"/>
        <v>0</v>
      </c>
      <c r="N825" t="str">
        <f t="shared" si="95"/>
        <v>0</v>
      </c>
    </row>
    <row r="826" spans="1:14" x14ac:dyDescent="0.3">
      <c r="A826" t="s">
        <v>17</v>
      </c>
      <c r="B826" t="s">
        <v>18</v>
      </c>
      <c r="C826" t="str">
        <f t="shared" si="91"/>
        <v>400</v>
      </c>
      <c r="D826" t="str">
        <f>"612762"</f>
        <v>612762</v>
      </c>
      <c r="E826" t="s">
        <v>19</v>
      </c>
      <c r="F826" t="s">
        <v>799</v>
      </c>
      <c r="G826">
        <v>250</v>
      </c>
      <c r="H826" t="str">
        <f>""</f>
        <v/>
      </c>
      <c r="I826">
        <v>11.04</v>
      </c>
      <c r="J826">
        <v>0</v>
      </c>
      <c r="K826" t="str">
        <f t="shared" si="94"/>
        <v>31000</v>
      </c>
      <c r="L826" t="str">
        <f t="shared" si="95"/>
        <v>0</v>
      </c>
      <c r="M826" t="str">
        <f t="shared" si="95"/>
        <v>0</v>
      </c>
      <c r="N826" t="str">
        <f t="shared" si="95"/>
        <v>0</v>
      </c>
    </row>
    <row r="827" spans="1:14" x14ac:dyDescent="0.3">
      <c r="A827" t="s">
        <v>17</v>
      </c>
      <c r="B827" t="s">
        <v>18</v>
      </c>
      <c r="C827" t="str">
        <f t="shared" si="91"/>
        <v>400</v>
      </c>
      <c r="D827" t="str">
        <f>"612769"</f>
        <v>612769</v>
      </c>
      <c r="E827" t="s">
        <v>19</v>
      </c>
      <c r="F827" t="s">
        <v>800</v>
      </c>
      <c r="G827">
        <v>250</v>
      </c>
      <c r="H827" t="str">
        <f>""</f>
        <v/>
      </c>
      <c r="I827">
        <v>6.5</v>
      </c>
      <c r="J827">
        <v>0</v>
      </c>
      <c r="K827" t="str">
        <f t="shared" si="94"/>
        <v>31000</v>
      </c>
      <c r="L827" t="str">
        <f t="shared" si="95"/>
        <v>0</v>
      </c>
      <c r="M827" t="str">
        <f t="shared" si="95"/>
        <v>0</v>
      </c>
      <c r="N827" t="str">
        <f t="shared" si="95"/>
        <v>0</v>
      </c>
    </row>
    <row r="828" spans="1:14" x14ac:dyDescent="0.3">
      <c r="A828" t="s">
        <v>17</v>
      </c>
      <c r="B828" t="s">
        <v>18</v>
      </c>
      <c r="C828" t="str">
        <f t="shared" si="91"/>
        <v>400</v>
      </c>
      <c r="D828" t="str">
        <f>"612770"</f>
        <v>612770</v>
      </c>
      <c r="E828" t="s">
        <v>19</v>
      </c>
      <c r="F828" t="s">
        <v>801</v>
      </c>
      <c r="G828">
        <v>250</v>
      </c>
      <c r="H828" t="str">
        <f>""</f>
        <v/>
      </c>
      <c r="I828">
        <v>7.5</v>
      </c>
      <c r="J828">
        <v>0</v>
      </c>
      <c r="K828" t="str">
        <f t="shared" si="94"/>
        <v>31000</v>
      </c>
      <c r="L828" t="str">
        <f t="shared" si="95"/>
        <v>0</v>
      </c>
      <c r="M828" t="str">
        <f t="shared" si="95"/>
        <v>0</v>
      </c>
      <c r="N828" t="str">
        <f t="shared" si="95"/>
        <v>0</v>
      </c>
    </row>
    <row r="829" spans="1:14" x14ac:dyDescent="0.3">
      <c r="A829" t="s">
        <v>17</v>
      </c>
      <c r="B829" t="s">
        <v>18</v>
      </c>
      <c r="C829" t="str">
        <f t="shared" si="91"/>
        <v>400</v>
      </c>
      <c r="D829" t="str">
        <f>"612775"</f>
        <v>612775</v>
      </c>
      <c r="E829" t="s">
        <v>19</v>
      </c>
      <c r="F829" t="s">
        <v>802</v>
      </c>
      <c r="G829">
        <v>250</v>
      </c>
      <c r="H829" t="str">
        <f>""</f>
        <v/>
      </c>
      <c r="I829">
        <v>320</v>
      </c>
      <c r="J829">
        <v>0</v>
      </c>
      <c r="K829" t="str">
        <f t="shared" si="94"/>
        <v>31000</v>
      </c>
      <c r="L829" t="str">
        <f t="shared" si="95"/>
        <v>0</v>
      </c>
      <c r="M829" t="str">
        <f t="shared" si="95"/>
        <v>0</v>
      </c>
      <c r="N829" t="str">
        <f t="shared" si="95"/>
        <v>0</v>
      </c>
    </row>
    <row r="830" spans="1:14" x14ac:dyDescent="0.3">
      <c r="A830" t="s">
        <v>17</v>
      </c>
      <c r="B830" t="s">
        <v>18</v>
      </c>
      <c r="C830" t="str">
        <f t="shared" si="91"/>
        <v>400</v>
      </c>
      <c r="D830" t="str">
        <f>"612776"</f>
        <v>612776</v>
      </c>
      <c r="E830" t="s">
        <v>19</v>
      </c>
      <c r="F830" t="s">
        <v>803</v>
      </c>
      <c r="G830">
        <v>250</v>
      </c>
      <c r="H830" t="str">
        <f>""</f>
        <v/>
      </c>
      <c r="I830">
        <v>12.9</v>
      </c>
      <c r="J830">
        <v>0</v>
      </c>
      <c r="K830" t="str">
        <f t="shared" si="94"/>
        <v>31000</v>
      </c>
      <c r="L830" t="str">
        <f t="shared" si="95"/>
        <v>0</v>
      </c>
      <c r="M830" t="str">
        <f t="shared" si="95"/>
        <v>0</v>
      </c>
      <c r="N830" t="str">
        <f t="shared" si="95"/>
        <v>0</v>
      </c>
    </row>
    <row r="831" spans="1:14" x14ac:dyDescent="0.3">
      <c r="A831" t="s">
        <v>17</v>
      </c>
      <c r="B831" t="s">
        <v>18</v>
      </c>
      <c r="C831" t="str">
        <f t="shared" si="91"/>
        <v>400</v>
      </c>
      <c r="D831" t="str">
        <f>"612777"</f>
        <v>612777</v>
      </c>
      <c r="E831" t="s">
        <v>19</v>
      </c>
      <c r="F831" t="s">
        <v>804</v>
      </c>
      <c r="G831">
        <v>250</v>
      </c>
      <c r="H831" t="str">
        <f>""</f>
        <v/>
      </c>
      <c r="I831">
        <v>12.9</v>
      </c>
      <c r="J831">
        <v>0</v>
      </c>
      <c r="K831" t="str">
        <f t="shared" si="94"/>
        <v>31000</v>
      </c>
      <c r="L831" t="str">
        <f t="shared" si="95"/>
        <v>0</v>
      </c>
      <c r="M831" t="str">
        <f t="shared" si="95"/>
        <v>0</v>
      </c>
      <c r="N831" t="str">
        <f t="shared" si="95"/>
        <v>0</v>
      </c>
    </row>
    <row r="832" spans="1:14" x14ac:dyDescent="0.3">
      <c r="A832" t="s">
        <v>17</v>
      </c>
      <c r="B832" t="s">
        <v>18</v>
      </c>
      <c r="C832" t="str">
        <f t="shared" si="91"/>
        <v>400</v>
      </c>
      <c r="D832" t="str">
        <f>"612778"</f>
        <v>612778</v>
      </c>
      <c r="E832" t="s">
        <v>19</v>
      </c>
      <c r="F832" t="s">
        <v>805</v>
      </c>
      <c r="G832">
        <v>250</v>
      </c>
      <c r="H832" t="str">
        <f>""</f>
        <v/>
      </c>
      <c r="I832">
        <v>11.75</v>
      </c>
      <c r="J832">
        <v>0</v>
      </c>
      <c r="K832" t="str">
        <f t="shared" si="94"/>
        <v>31000</v>
      </c>
      <c r="L832" t="str">
        <f t="shared" si="95"/>
        <v>0</v>
      </c>
      <c r="M832" t="str">
        <f t="shared" si="95"/>
        <v>0</v>
      </c>
      <c r="N832" t="str">
        <f t="shared" si="95"/>
        <v>0</v>
      </c>
    </row>
    <row r="833" spans="1:14" x14ac:dyDescent="0.3">
      <c r="A833" t="s">
        <v>17</v>
      </c>
      <c r="B833" t="s">
        <v>18</v>
      </c>
      <c r="C833" t="str">
        <f t="shared" si="91"/>
        <v>400</v>
      </c>
      <c r="D833" t="str">
        <f>"612779"</f>
        <v>612779</v>
      </c>
      <c r="E833" t="s">
        <v>19</v>
      </c>
      <c r="F833" t="s">
        <v>806</v>
      </c>
      <c r="G833">
        <v>250</v>
      </c>
      <c r="H833" t="str">
        <f>""</f>
        <v/>
      </c>
      <c r="I833">
        <v>18.420000000000002</v>
      </c>
      <c r="J833">
        <v>0</v>
      </c>
      <c r="K833" t="str">
        <f t="shared" si="94"/>
        <v>31000</v>
      </c>
      <c r="L833" t="str">
        <f t="shared" si="95"/>
        <v>0</v>
      </c>
      <c r="M833" t="str">
        <f t="shared" si="95"/>
        <v>0</v>
      </c>
      <c r="N833" t="str">
        <f t="shared" si="95"/>
        <v>0</v>
      </c>
    </row>
    <row r="834" spans="1:14" x14ac:dyDescent="0.3">
      <c r="A834" t="s">
        <v>17</v>
      </c>
      <c r="B834" t="s">
        <v>18</v>
      </c>
      <c r="C834" t="str">
        <f t="shared" ref="C834:C897" si="96">"400"</f>
        <v>400</v>
      </c>
      <c r="D834" t="str">
        <f>"612788"</f>
        <v>612788</v>
      </c>
      <c r="E834" t="s">
        <v>19</v>
      </c>
      <c r="F834" t="s">
        <v>807</v>
      </c>
      <c r="G834">
        <v>250</v>
      </c>
      <c r="I834">
        <v>9</v>
      </c>
      <c r="J834">
        <v>0</v>
      </c>
      <c r="K834" t="str">
        <f t="shared" si="94"/>
        <v>31000</v>
      </c>
      <c r="L834" t="str">
        <f t="shared" si="95"/>
        <v>0</v>
      </c>
      <c r="M834" t="str">
        <f t="shared" si="95"/>
        <v>0</v>
      </c>
      <c r="N834" t="str">
        <f t="shared" si="95"/>
        <v>0</v>
      </c>
    </row>
    <row r="835" spans="1:14" x14ac:dyDescent="0.3">
      <c r="A835" t="s">
        <v>17</v>
      </c>
      <c r="B835" t="s">
        <v>18</v>
      </c>
      <c r="C835" t="str">
        <f t="shared" si="96"/>
        <v>400</v>
      </c>
      <c r="D835" t="str">
        <f>"612790"</f>
        <v>612790</v>
      </c>
      <c r="E835" t="s">
        <v>19</v>
      </c>
      <c r="F835" t="s">
        <v>808</v>
      </c>
      <c r="G835">
        <v>250</v>
      </c>
      <c r="H835" t="str">
        <f>""</f>
        <v/>
      </c>
      <c r="I835">
        <v>89.75</v>
      </c>
      <c r="J835">
        <v>0</v>
      </c>
      <c r="K835" t="str">
        <f t="shared" si="94"/>
        <v>31000</v>
      </c>
      <c r="L835" t="str">
        <f t="shared" si="95"/>
        <v>0</v>
      </c>
      <c r="M835" t="str">
        <f t="shared" si="95"/>
        <v>0</v>
      </c>
      <c r="N835" t="str">
        <f t="shared" si="95"/>
        <v>0</v>
      </c>
    </row>
    <row r="836" spans="1:14" x14ac:dyDescent="0.3">
      <c r="A836" t="s">
        <v>17</v>
      </c>
      <c r="B836" t="s">
        <v>18</v>
      </c>
      <c r="C836" t="str">
        <f t="shared" si="96"/>
        <v>400</v>
      </c>
      <c r="D836" t="str">
        <f>"612791"</f>
        <v>612791</v>
      </c>
      <c r="E836" t="s">
        <v>19</v>
      </c>
      <c r="F836" t="s">
        <v>809</v>
      </c>
      <c r="G836">
        <v>250</v>
      </c>
      <c r="H836" t="str">
        <f>""</f>
        <v/>
      </c>
      <c r="I836">
        <v>29.95</v>
      </c>
      <c r="J836">
        <v>0</v>
      </c>
      <c r="K836" t="str">
        <f t="shared" si="94"/>
        <v>31000</v>
      </c>
      <c r="L836" t="str">
        <f t="shared" si="95"/>
        <v>0</v>
      </c>
      <c r="M836" t="str">
        <f t="shared" si="95"/>
        <v>0</v>
      </c>
      <c r="N836" t="str">
        <f t="shared" si="95"/>
        <v>0</v>
      </c>
    </row>
    <row r="837" spans="1:14" x14ac:dyDescent="0.3">
      <c r="A837" t="s">
        <v>17</v>
      </c>
      <c r="B837" t="s">
        <v>18</v>
      </c>
      <c r="C837" t="str">
        <f t="shared" si="96"/>
        <v>400</v>
      </c>
      <c r="D837" t="str">
        <f>"612800"</f>
        <v>612800</v>
      </c>
      <c r="E837" t="s">
        <v>19</v>
      </c>
      <c r="F837" t="s">
        <v>810</v>
      </c>
      <c r="G837">
        <v>250</v>
      </c>
      <c r="H837" t="str">
        <f>""</f>
        <v/>
      </c>
      <c r="I837">
        <v>8</v>
      </c>
      <c r="J837">
        <v>0</v>
      </c>
      <c r="K837" t="str">
        <f t="shared" si="94"/>
        <v>31000</v>
      </c>
      <c r="L837" t="str">
        <f t="shared" si="95"/>
        <v>0</v>
      </c>
      <c r="M837" t="str">
        <f t="shared" si="95"/>
        <v>0</v>
      </c>
      <c r="N837" t="str">
        <f t="shared" si="95"/>
        <v>0</v>
      </c>
    </row>
    <row r="838" spans="1:14" x14ac:dyDescent="0.3">
      <c r="A838" t="s">
        <v>17</v>
      </c>
      <c r="B838" t="s">
        <v>18</v>
      </c>
      <c r="C838" t="str">
        <f t="shared" si="96"/>
        <v>400</v>
      </c>
      <c r="D838" t="str">
        <f>"612801"</f>
        <v>612801</v>
      </c>
      <c r="E838" t="s">
        <v>19</v>
      </c>
      <c r="F838" t="s">
        <v>811</v>
      </c>
      <c r="G838">
        <v>250</v>
      </c>
      <c r="H838" t="str">
        <f>""</f>
        <v/>
      </c>
      <c r="I838">
        <v>6.8</v>
      </c>
      <c r="J838">
        <v>0</v>
      </c>
      <c r="K838" t="str">
        <f t="shared" si="94"/>
        <v>31000</v>
      </c>
      <c r="L838" t="str">
        <f t="shared" si="95"/>
        <v>0</v>
      </c>
      <c r="M838" t="str">
        <f t="shared" si="95"/>
        <v>0</v>
      </c>
      <c r="N838" t="str">
        <f t="shared" si="95"/>
        <v>0</v>
      </c>
    </row>
    <row r="839" spans="1:14" x14ac:dyDescent="0.3">
      <c r="A839" t="s">
        <v>17</v>
      </c>
      <c r="B839" t="s">
        <v>18</v>
      </c>
      <c r="C839" t="str">
        <f t="shared" si="96"/>
        <v>400</v>
      </c>
      <c r="D839" t="str">
        <f>"612802"</f>
        <v>612802</v>
      </c>
      <c r="E839" t="s">
        <v>19</v>
      </c>
      <c r="F839" t="s">
        <v>812</v>
      </c>
      <c r="G839">
        <v>250</v>
      </c>
      <c r="H839" t="str">
        <f>""</f>
        <v/>
      </c>
      <c r="I839">
        <v>8.1</v>
      </c>
      <c r="J839">
        <v>0</v>
      </c>
      <c r="K839" t="str">
        <f t="shared" si="94"/>
        <v>31000</v>
      </c>
      <c r="L839" t="str">
        <f t="shared" si="95"/>
        <v>0</v>
      </c>
      <c r="M839" t="str">
        <f t="shared" si="95"/>
        <v>0</v>
      </c>
      <c r="N839" t="str">
        <f t="shared" si="95"/>
        <v>0</v>
      </c>
    </row>
    <row r="840" spans="1:14" x14ac:dyDescent="0.3">
      <c r="A840" t="s">
        <v>17</v>
      </c>
      <c r="B840" t="s">
        <v>18</v>
      </c>
      <c r="C840" t="str">
        <f t="shared" si="96"/>
        <v>400</v>
      </c>
      <c r="D840" t="str">
        <f>"612803"</f>
        <v>612803</v>
      </c>
      <c r="E840" t="s">
        <v>19</v>
      </c>
      <c r="F840" t="s">
        <v>813</v>
      </c>
      <c r="G840">
        <v>250</v>
      </c>
      <c r="H840" t="str">
        <f>""</f>
        <v/>
      </c>
      <c r="I840">
        <v>9.25</v>
      </c>
      <c r="J840">
        <v>0</v>
      </c>
      <c r="K840" t="str">
        <f t="shared" si="94"/>
        <v>31000</v>
      </c>
      <c r="L840" t="str">
        <f t="shared" si="95"/>
        <v>0</v>
      </c>
      <c r="M840" t="str">
        <f t="shared" si="95"/>
        <v>0</v>
      </c>
      <c r="N840" t="str">
        <f t="shared" si="95"/>
        <v>0</v>
      </c>
    </row>
    <row r="841" spans="1:14" x14ac:dyDescent="0.3">
      <c r="A841" t="s">
        <v>17</v>
      </c>
      <c r="B841" t="s">
        <v>18</v>
      </c>
      <c r="C841" t="str">
        <f t="shared" si="96"/>
        <v>400</v>
      </c>
      <c r="D841" t="str">
        <f>"612804"</f>
        <v>612804</v>
      </c>
      <c r="E841" t="s">
        <v>19</v>
      </c>
      <c r="F841" t="s">
        <v>814</v>
      </c>
      <c r="G841">
        <v>250</v>
      </c>
      <c r="H841" t="str">
        <f>""</f>
        <v/>
      </c>
      <c r="I841">
        <v>15.5</v>
      </c>
      <c r="J841">
        <v>0</v>
      </c>
      <c r="K841" t="str">
        <f t="shared" si="94"/>
        <v>31000</v>
      </c>
      <c r="L841" t="str">
        <f t="shared" ref="L841:N861" si="97">"0"</f>
        <v>0</v>
      </c>
      <c r="M841" t="str">
        <f t="shared" si="97"/>
        <v>0</v>
      </c>
      <c r="N841" t="str">
        <f t="shared" si="97"/>
        <v>0</v>
      </c>
    </row>
    <row r="842" spans="1:14" x14ac:dyDescent="0.3">
      <c r="A842" t="s">
        <v>17</v>
      </c>
      <c r="B842" t="s">
        <v>18</v>
      </c>
      <c r="C842" t="str">
        <f t="shared" si="96"/>
        <v>400</v>
      </c>
      <c r="D842" t="str">
        <f>"612805"</f>
        <v>612805</v>
      </c>
      <c r="E842" t="s">
        <v>19</v>
      </c>
      <c r="F842" t="s">
        <v>815</v>
      </c>
      <c r="G842">
        <v>250</v>
      </c>
      <c r="H842" t="str">
        <f>""</f>
        <v/>
      </c>
      <c r="I842">
        <v>11.95</v>
      </c>
      <c r="J842">
        <v>0</v>
      </c>
      <c r="K842" t="str">
        <f t="shared" si="94"/>
        <v>31000</v>
      </c>
      <c r="L842" t="str">
        <f t="shared" si="97"/>
        <v>0</v>
      </c>
      <c r="M842" t="str">
        <f t="shared" si="97"/>
        <v>0</v>
      </c>
      <c r="N842" t="str">
        <f t="shared" si="97"/>
        <v>0</v>
      </c>
    </row>
    <row r="843" spans="1:14" x14ac:dyDescent="0.3">
      <c r="A843" t="s">
        <v>17</v>
      </c>
      <c r="B843" t="s">
        <v>18</v>
      </c>
      <c r="C843" t="str">
        <f t="shared" si="96"/>
        <v>400</v>
      </c>
      <c r="D843" t="str">
        <f>"612808"</f>
        <v>612808</v>
      </c>
      <c r="E843" t="s">
        <v>19</v>
      </c>
      <c r="F843" t="s">
        <v>816</v>
      </c>
      <c r="G843">
        <v>250</v>
      </c>
      <c r="H843" t="str">
        <f>""</f>
        <v/>
      </c>
      <c r="I843">
        <v>4.5</v>
      </c>
      <c r="J843">
        <v>0</v>
      </c>
      <c r="K843" t="str">
        <f t="shared" si="94"/>
        <v>31000</v>
      </c>
      <c r="L843" t="str">
        <f t="shared" si="97"/>
        <v>0</v>
      </c>
      <c r="M843" t="str">
        <f t="shared" si="97"/>
        <v>0</v>
      </c>
      <c r="N843" t="str">
        <f t="shared" si="97"/>
        <v>0</v>
      </c>
    </row>
    <row r="844" spans="1:14" x14ac:dyDescent="0.3">
      <c r="A844" t="s">
        <v>17</v>
      </c>
      <c r="B844" t="s">
        <v>18</v>
      </c>
      <c r="C844" t="str">
        <f t="shared" si="96"/>
        <v>400</v>
      </c>
      <c r="D844" t="str">
        <f>"612809"</f>
        <v>612809</v>
      </c>
      <c r="E844" t="s">
        <v>19</v>
      </c>
      <c r="F844" t="s">
        <v>817</v>
      </c>
      <c r="G844">
        <v>250</v>
      </c>
      <c r="H844" t="str">
        <f>""</f>
        <v/>
      </c>
      <c r="I844">
        <v>4.5</v>
      </c>
      <c r="J844">
        <v>0</v>
      </c>
      <c r="K844" t="str">
        <f t="shared" si="94"/>
        <v>31000</v>
      </c>
      <c r="L844" t="str">
        <f t="shared" si="97"/>
        <v>0</v>
      </c>
      <c r="M844" t="str">
        <f t="shared" si="97"/>
        <v>0</v>
      </c>
      <c r="N844" t="str">
        <f t="shared" si="97"/>
        <v>0</v>
      </c>
    </row>
    <row r="845" spans="1:14" x14ac:dyDescent="0.3">
      <c r="A845" t="s">
        <v>17</v>
      </c>
      <c r="B845" t="s">
        <v>18</v>
      </c>
      <c r="C845" t="str">
        <f t="shared" si="96"/>
        <v>400</v>
      </c>
      <c r="D845" t="str">
        <f>"612836"</f>
        <v>612836</v>
      </c>
      <c r="E845" t="s">
        <v>19</v>
      </c>
      <c r="F845" t="s">
        <v>818</v>
      </c>
      <c r="G845">
        <v>250</v>
      </c>
      <c r="H845" t="str">
        <f>""</f>
        <v/>
      </c>
      <c r="I845">
        <v>5.6</v>
      </c>
      <c r="J845">
        <v>0</v>
      </c>
      <c r="K845" t="str">
        <f t="shared" si="94"/>
        <v>31000</v>
      </c>
      <c r="L845" t="str">
        <f t="shared" si="97"/>
        <v>0</v>
      </c>
      <c r="M845" t="str">
        <f t="shared" si="97"/>
        <v>0</v>
      </c>
      <c r="N845" t="str">
        <f t="shared" si="97"/>
        <v>0</v>
      </c>
    </row>
    <row r="846" spans="1:14" x14ac:dyDescent="0.3">
      <c r="A846" t="s">
        <v>17</v>
      </c>
      <c r="B846" t="s">
        <v>18</v>
      </c>
      <c r="C846" t="str">
        <f t="shared" si="96"/>
        <v>400</v>
      </c>
      <c r="D846" t="str">
        <f>"612839"</f>
        <v>612839</v>
      </c>
      <c r="E846" t="s">
        <v>19</v>
      </c>
      <c r="F846" t="s">
        <v>819</v>
      </c>
      <c r="G846">
        <v>250</v>
      </c>
      <c r="H846" t="str">
        <f>""</f>
        <v/>
      </c>
      <c r="I846">
        <v>5.99</v>
      </c>
      <c r="J846">
        <v>0</v>
      </c>
      <c r="K846" t="str">
        <f t="shared" si="94"/>
        <v>31000</v>
      </c>
      <c r="L846" t="str">
        <f t="shared" si="97"/>
        <v>0</v>
      </c>
      <c r="M846" t="str">
        <f t="shared" si="97"/>
        <v>0</v>
      </c>
      <c r="N846" t="str">
        <f t="shared" si="97"/>
        <v>0</v>
      </c>
    </row>
    <row r="847" spans="1:14" x14ac:dyDescent="0.3">
      <c r="A847" t="s">
        <v>17</v>
      </c>
      <c r="B847" t="s">
        <v>18</v>
      </c>
      <c r="C847" t="str">
        <f t="shared" si="96"/>
        <v>400</v>
      </c>
      <c r="D847" t="str">
        <f>"612842"</f>
        <v>612842</v>
      </c>
      <c r="E847" t="s">
        <v>19</v>
      </c>
      <c r="F847" t="s">
        <v>820</v>
      </c>
      <c r="G847">
        <v>250</v>
      </c>
      <c r="H847" t="str">
        <f>""</f>
        <v/>
      </c>
      <c r="I847">
        <v>4.5</v>
      </c>
      <c r="J847">
        <v>0</v>
      </c>
      <c r="K847" t="str">
        <f t="shared" si="94"/>
        <v>31000</v>
      </c>
      <c r="L847" t="str">
        <f t="shared" si="97"/>
        <v>0</v>
      </c>
      <c r="M847" t="str">
        <f t="shared" si="97"/>
        <v>0</v>
      </c>
      <c r="N847" t="str">
        <f t="shared" si="97"/>
        <v>0</v>
      </c>
    </row>
    <row r="848" spans="1:14" x14ac:dyDescent="0.3">
      <c r="A848" t="s">
        <v>17</v>
      </c>
      <c r="B848" t="s">
        <v>18</v>
      </c>
      <c r="C848" t="str">
        <f t="shared" si="96"/>
        <v>400</v>
      </c>
      <c r="D848" t="str">
        <f>"612847"</f>
        <v>612847</v>
      </c>
      <c r="E848" t="s">
        <v>19</v>
      </c>
      <c r="F848" t="s">
        <v>821</v>
      </c>
      <c r="G848">
        <v>250</v>
      </c>
      <c r="H848" t="str">
        <f>""</f>
        <v/>
      </c>
      <c r="I848">
        <v>4.5</v>
      </c>
      <c r="J848">
        <v>0</v>
      </c>
      <c r="K848" t="str">
        <f t="shared" si="94"/>
        <v>31000</v>
      </c>
      <c r="L848" t="str">
        <f t="shared" si="97"/>
        <v>0</v>
      </c>
      <c r="M848" t="str">
        <f t="shared" si="97"/>
        <v>0</v>
      </c>
      <c r="N848" t="str">
        <f t="shared" si="97"/>
        <v>0</v>
      </c>
    </row>
    <row r="849" spans="1:14" x14ac:dyDescent="0.3">
      <c r="A849" t="s">
        <v>17</v>
      </c>
      <c r="B849" t="s">
        <v>18</v>
      </c>
      <c r="C849" t="str">
        <f t="shared" si="96"/>
        <v>400</v>
      </c>
      <c r="D849" t="str">
        <f>"612848"</f>
        <v>612848</v>
      </c>
      <c r="E849" t="s">
        <v>19</v>
      </c>
      <c r="F849" t="s">
        <v>822</v>
      </c>
      <c r="G849">
        <v>250</v>
      </c>
      <c r="H849" t="str">
        <f>""</f>
        <v/>
      </c>
      <c r="I849">
        <v>4.5</v>
      </c>
      <c r="J849">
        <v>0</v>
      </c>
      <c r="K849" t="str">
        <f t="shared" si="94"/>
        <v>31000</v>
      </c>
      <c r="L849" t="str">
        <f t="shared" si="97"/>
        <v>0</v>
      </c>
      <c r="M849" t="str">
        <f t="shared" si="97"/>
        <v>0</v>
      </c>
      <c r="N849" t="str">
        <f t="shared" si="97"/>
        <v>0</v>
      </c>
    </row>
    <row r="850" spans="1:14" x14ac:dyDescent="0.3">
      <c r="A850" t="s">
        <v>17</v>
      </c>
      <c r="B850" t="s">
        <v>18</v>
      </c>
      <c r="C850" t="str">
        <f t="shared" si="96"/>
        <v>400</v>
      </c>
      <c r="D850" t="str">
        <f>"612858"</f>
        <v>612858</v>
      </c>
      <c r="E850" t="s">
        <v>19</v>
      </c>
      <c r="F850" t="s">
        <v>823</v>
      </c>
      <c r="G850">
        <v>250</v>
      </c>
      <c r="H850" t="str">
        <f>""</f>
        <v/>
      </c>
      <c r="I850">
        <v>12.75</v>
      </c>
      <c r="J850">
        <v>0</v>
      </c>
      <c r="K850" t="str">
        <f t="shared" si="94"/>
        <v>31000</v>
      </c>
      <c r="L850" t="str">
        <f t="shared" si="97"/>
        <v>0</v>
      </c>
      <c r="M850" t="str">
        <f t="shared" si="97"/>
        <v>0</v>
      </c>
      <c r="N850" t="str">
        <f t="shared" si="97"/>
        <v>0</v>
      </c>
    </row>
    <row r="851" spans="1:14" x14ac:dyDescent="0.3">
      <c r="A851" t="s">
        <v>17</v>
      </c>
      <c r="B851" t="s">
        <v>18</v>
      </c>
      <c r="C851" t="str">
        <f t="shared" si="96"/>
        <v>400</v>
      </c>
      <c r="D851" t="str">
        <f>"612860"</f>
        <v>612860</v>
      </c>
      <c r="E851" t="s">
        <v>19</v>
      </c>
      <c r="F851" t="s">
        <v>824</v>
      </c>
      <c r="G851">
        <v>250</v>
      </c>
      <c r="H851" t="str">
        <f>""</f>
        <v/>
      </c>
      <c r="I851">
        <v>10.4</v>
      </c>
      <c r="J851">
        <v>0</v>
      </c>
      <c r="K851" t="str">
        <f t="shared" si="94"/>
        <v>31000</v>
      </c>
      <c r="L851" t="str">
        <f t="shared" si="97"/>
        <v>0</v>
      </c>
      <c r="M851" t="str">
        <f t="shared" si="97"/>
        <v>0</v>
      </c>
      <c r="N851" t="str">
        <f t="shared" si="97"/>
        <v>0</v>
      </c>
    </row>
    <row r="852" spans="1:14" x14ac:dyDescent="0.3">
      <c r="A852" t="s">
        <v>17</v>
      </c>
      <c r="B852" t="s">
        <v>18</v>
      </c>
      <c r="C852" t="str">
        <f t="shared" si="96"/>
        <v>400</v>
      </c>
      <c r="D852" t="str">
        <f>"612861"</f>
        <v>612861</v>
      </c>
      <c r="E852" t="s">
        <v>19</v>
      </c>
      <c r="F852" t="s">
        <v>825</v>
      </c>
      <c r="G852">
        <v>250</v>
      </c>
      <c r="H852" t="str">
        <f>""</f>
        <v/>
      </c>
      <c r="I852">
        <v>2.5</v>
      </c>
      <c r="J852">
        <v>0</v>
      </c>
      <c r="K852" t="str">
        <f t="shared" si="94"/>
        <v>31000</v>
      </c>
      <c r="L852" t="str">
        <f t="shared" si="97"/>
        <v>0</v>
      </c>
      <c r="M852" t="str">
        <f t="shared" si="97"/>
        <v>0</v>
      </c>
      <c r="N852" t="str">
        <f t="shared" si="97"/>
        <v>0</v>
      </c>
    </row>
    <row r="853" spans="1:14" x14ac:dyDescent="0.3">
      <c r="A853" t="s">
        <v>17</v>
      </c>
      <c r="B853" t="s">
        <v>18</v>
      </c>
      <c r="C853" t="str">
        <f t="shared" si="96"/>
        <v>400</v>
      </c>
      <c r="D853" t="str">
        <f>"612862"</f>
        <v>612862</v>
      </c>
      <c r="E853" t="s">
        <v>19</v>
      </c>
      <c r="F853" t="s">
        <v>826</v>
      </c>
      <c r="G853">
        <v>250</v>
      </c>
      <c r="H853" t="str">
        <f>""</f>
        <v/>
      </c>
      <c r="I853">
        <v>5.3</v>
      </c>
      <c r="J853">
        <v>0</v>
      </c>
      <c r="K853" t="str">
        <f t="shared" si="94"/>
        <v>31000</v>
      </c>
      <c r="L853" t="str">
        <f t="shared" si="97"/>
        <v>0</v>
      </c>
      <c r="M853" t="str">
        <f t="shared" si="97"/>
        <v>0</v>
      </c>
      <c r="N853" t="str">
        <f t="shared" si="97"/>
        <v>0</v>
      </c>
    </row>
    <row r="854" spans="1:14" x14ac:dyDescent="0.3">
      <c r="A854" t="s">
        <v>17</v>
      </c>
      <c r="B854" t="s">
        <v>18</v>
      </c>
      <c r="C854" t="str">
        <f t="shared" si="96"/>
        <v>400</v>
      </c>
      <c r="D854" t="str">
        <f>"612865"</f>
        <v>612865</v>
      </c>
      <c r="E854" t="s">
        <v>19</v>
      </c>
      <c r="F854" t="s">
        <v>827</v>
      </c>
      <c r="G854">
        <v>250</v>
      </c>
      <c r="H854" t="str">
        <f>""</f>
        <v/>
      </c>
      <c r="I854">
        <v>3.1</v>
      </c>
      <c r="J854">
        <v>0</v>
      </c>
      <c r="K854" t="str">
        <f t="shared" si="94"/>
        <v>31000</v>
      </c>
      <c r="L854" t="str">
        <f t="shared" si="97"/>
        <v>0</v>
      </c>
      <c r="M854" t="str">
        <f t="shared" si="97"/>
        <v>0</v>
      </c>
      <c r="N854" t="str">
        <f t="shared" si="97"/>
        <v>0</v>
      </c>
    </row>
    <row r="855" spans="1:14" x14ac:dyDescent="0.3">
      <c r="A855" t="s">
        <v>17</v>
      </c>
      <c r="B855" t="s">
        <v>18</v>
      </c>
      <c r="C855" t="str">
        <f t="shared" si="96"/>
        <v>400</v>
      </c>
      <c r="D855" t="str">
        <f>"612866"</f>
        <v>612866</v>
      </c>
      <c r="E855" t="s">
        <v>19</v>
      </c>
      <c r="F855" t="s">
        <v>828</v>
      </c>
      <c r="G855">
        <v>250</v>
      </c>
      <c r="H855" t="str">
        <f>""</f>
        <v/>
      </c>
      <c r="I855">
        <v>9.9499999999999993</v>
      </c>
      <c r="J855">
        <v>0</v>
      </c>
      <c r="K855" t="str">
        <f t="shared" si="94"/>
        <v>31000</v>
      </c>
      <c r="L855" t="str">
        <f t="shared" si="97"/>
        <v>0</v>
      </c>
      <c r="M855" t="str">
        <f t="shared" si="97"/>
        <v>0</v>
      </c>
      <c r="N855" t="str">
        <f t="shared" si="97"/>
        <v>0</v>
      </c>
    </row>
    <row r="856" spans="1:14" x14ac:dyDescent="0.3">
      <c r="A856" t="s">
        <v>17</v>
      </c>
      <c r="B856" t="s">
        <v>18</v>
      </c>
      <c r="C856" t="str">
        <f t="shared" si="96"/>
        <v>400</v>
      </c>
      <c r="D856" t="str">
        <f>"612867"</f>
        <v>612867</v>
      </c>
      <c r="E856" t="s">
        <v>19</v>
      </c>
      <c r="F856" t="s">
        <v>829</v>
      </c>
      <c r="G856">
        <v>250</v>
      </c>
      <c r="H856" t="str">
        <f>""</f>
        <v/>
      </c>
      <c r="I856">
        <v>18.63</v>
      </c>
      <c r="J856">
        <v>0</v>
      </c>
      <c r="K856" t="str">
        <f t="shared" si="94"/>
        <v>31000</v>
      </c>
      <c r="L856" t="str">
        <f t="shared" si="97"/>
        <v>0</v>
      </c>
      <c r="M856" t="str">
        <f t="shared" si="97"/>
        <v>0</v>
      </c>
      <c r="N856" t="str">
        <f t="shared" si="97"/>
        <v>0</v>
      </c>
    </row>
    <row r="857" spans="1:14" x14ac:dyDescent="0.3">
      <c r="A857" t="s">
        <v>17</v>
      </c>
      <c r="B857" t="s">
        <v>18</v>
      </c>
      <c r="C857" t="str">
        <f t="shared" si="96"/>
        <v>400</v>
      </c>
      <c r="D857" t="str">
        <f>"612869"</f>
        <v>612869</v>
      </c>
      <c r="E857" t="s">
        <v>19</v>
      </c>
      <c r="F857" t="s">
        <v>830</v>
      </c>
      <c r="G857">
        <v>250</v>
      </c>
      <c r="H857" t="str">
        <f>""</f>
        <v/>
      </c>
      <c r="I857">
        <v>5.3</v>
      </c>
      <c r="J857">
        <v>0</v>
      </c>
      <c r="K857" t="str">
        <f t="shared" si="94"/>
        <v>31000</v>
      </c>
      <c r="L857" t="str">
        <f t="shared" si="97"/>
        <v>0</v>
      </c>
      <c r="M857" t="str">
        <f t="shared" si="97"/>
        <v>0</v>
      </c>
      <c r="N857" t="str">
        <f t="shared" si="97"/>
        <v>0</v>
      </c>
    </row>
    <row r="858" spans="1:14" x14ac:dyDescent="0.3">
      <c r="A858" t="s">
        <v>17</v>
      </c>
      <c r="B858" t="s">
        <v>18</v>
      </c>
      <c r="C858" t="str">
        <f t="shared" si="96"/>
        <v>400</v>
      </c>
      <c r="D858" t="str">
        <f>"612870"</f>
        <v>612870</v>
      </c>
      <c r="E858" t="s">
        <v>19</v>
      </c>
      <c r="F858" t="s">
        <v>831</v>
      </c>
      <c r="G858">
        <v>250</v>
      </c>
      <c r="H858" t="str">
        <f>""</f>
        <v/>
      </c>
      <c r="I858">
        <v>12.75</v>
      </c>
      <c r="J858">
        <v>0</v>
      </c>
      <c r="K858" t="str">
        <f t="shared" si="94"/>
        <v>31000</v>
      </c>
      <c r="L858" t="str">
        <f t="shared" si="97"/>
        <v>0</v>
      </c>
      <c r="M858" t="str">
        <f t="shared" si="97"/>
        <v>0</v>
      </c>
      <c r="N858" t="str">
        <f t="shared" si="97"/>
        <v>0</v>
      </c>
    </row>
    <row r="859" spans="1:14" x14ac:dyDescent="0.3">
      <c r="A859" t="s">
        <v>17</v>
      </c>
      <c r="B859" t="s">
        <v>18</v>
      </c>
      <c r="C859" t="str">
        <f t="shared" si="96"/>
        <v>400</v>
      </c>
      <c r="D859" t="str">
        <f>"612875"</f>
        <v>612875</v>
      </c>
      <c r="E859" t="s">
        <v>19</v>
      </c>
      <c r="F859" t="s">
        <v>832</v>
      </c>
      <c r="G859">
        <v>250</v>
      </c>
      <c r="H859" t="str">
        <f>""</f>
        <v/>
      </c>
      <c r="I859">
        <v>7.9</v>
      </c>
      <c r="J859">
        <v>0</v>
      </c>
      <c r="K859" t="str">
        <f t="shared" si="94"/>
        <v>31000</v>
      </c>
      <c r="L859" t="str">
        <f t="shared" si="97"/>
        <v>0</v>
      </c>
      <c r="M859" t="str">
        <f t="shared" si="97"/>
        <v>0</v>
      </c>
      <c r="N859" t="str">
        <f t="shared" si="97"/>
        <v>0</v>
      </c>
    </row>
    <row r="860" spans="1:14" x14ac:dyDescent="0.3">
      <c r="A860" t="s">
        <v>17</v>
      </c>
      <c r="B860" t="s">
        <v>18</v>
      </c>
      <c r="C860" t="str">
        <f t="shared" si="96"/>
        <v>400</v>
      </c>
      <c r="D860" t="str">
        <f>"612876"</f>
        <v>612876</v>
      </c>
      <c r="E860" t="s">
        <v>19</v>
      </c>
      <c r="F860" t="s">
        <v>833</v>
      </c>
      <c r="G860">
        <v>250</v>
      </c>
      <c r="H860" t="str">
        <f>""</f>
        <v/>
      </c>
      <c r="I860">
        <v>64</v>
      </c>
      <c r="J860">
        <v>0</v>
      </c>
      <c r="K860" t="str">
        <f t="shared" si="94"/>
        <v>31000</v>
      </c>
      <c r="L860" t="str">
        <f t="shared" si="97"/>
        <v>0</v>
      </c>
      <c r="M860" t="str">
        <f t="shared" si="97"/>
        <v>0</v>
      </c>
      <c r="N860" t="str">
        <f t="shared" si="97"/>
        <v>0</v>
      </c>
    </row>
    <row r="861" spans="1:14" x14ac:dyDescent="0.3">
      <c r="A861" t="s">
        <v>17</v>
      </c>
      <c r="B861" t="s">
        <v>18</v>
      </c>
      <c r="C861" t="str">
        <f t="shared" si="96"/>
        <v>400</v>
      </c>
      <c r="D861" t="str">
        <f>"612883"</f>
        <v>612883</v>
      </c>
      <c r="E861" t="s">
        <v>19</v>
      </c>
      <c r="F861" t="s">
        <v>834</v>
      </c>
      <c r="G861">
        <v>250</v>
      </c>
      <c r="H861" t="str">
        <f>""</f>
        <v/>
      </c>
      <c r="I861">
        <v>2.5</v>
      </c>
      <c r="J861">
        <v>0</v>
      </c>
      <c r="K861" t="str">
        <f t="shared" si="94"/>
        <v>31000</v>
      </c>
      <c r="L861" t="str">
        <f t="shared" si="97"/>
        <v>0</v>
      </c>
      <c r="M861" t="str">
        <f t="shared" si="97"/>
        <v>0</v>
      </c>
      <c r="N861" t="str">
        <f t="shared" si="97"/>
        <v>0</v>
      </c>
    </row>
    <row r="862" spans="1:14" x14ac:dyDescent="0.3">
      <c r="A862" t="s">
        <v>17</v>
      </c>
      <c r="B862" t="s">
        <v>18</v>
      </c>
      <c r="C862" t="str">
        <f t="shared" si="96"/>
        <v>400</v>
      </c>
      <c r="D862" t="str">
        <f>"612886"</f>
        <v>612886</v>
      </c>
      <c r="E862" t="s">
        <v>19</v>
      </c>
      <c r="F862" t="s">
        <v>835</v>
      </c>
      <c r="G862">
        <v>250</v>
      </c>
      <c r="I862">
        <v>2.1</v>
      </c>
      <c r="J862">
        <v>0</v>
      </c>
      <c r="K862" t="str">
        <f t="shared" si="94"/>
        <v>31000</v>
      </c>
    </row>
    <row r="863" spans="1:14" x14ac:dyDescent="0.3">
      <c r="A863" t="s">
        <v>17</v>
      </c>
      <c r="B863" t="s">
        <v>18</v>
      </c>
      <c r="C863" t="str">
        <f t="shared" si="96"/>
        <v>400</v>
      </c>
      <c r="D863" t="str">
        <f>"612887"</f>
        <v>612887</v>
      </c>
      <c r="E863" t="s">
        <v>19</v>
      </c>
      <c r="F863" t="s">
        <v>836</v>
      </c>
      <c r="G863">
        <v>250</v>
      </c>
      <c r="H863" t="str">
        <f>""</f>
        <v/>
      </c>
      <c r="I863">
        <v>4.5</v>
      </c>
      <c r="J863">
        <v>0</v>
      </c>
      <c r="K863" t="str">
        <f t="shared" si="94"/>
        <v>31000</v>
      </c>
      <c r="L863" t="str">
        <f t="shared" ref="L863:N879" si="98">"0"</f>
        <v>0</v>
      </c>
      <c r="M863" t="str">
        <f t="shared" si="98"/>
        <v>0</v>
      </c>
      <c r="N863" t="str">
        <f t="shared" si="98"/>
        <v>0</v>
      </c>
    </row>
    <row r="864" spans="1:14" x14ac:dyDescent="0.3">
      <c r="A864" t="s">
        <v>17</v>
      </c>
      <c r="B864" t="s">
        <v>18</v>
      </c>
      <c r="C864" t="str">
        <f t="shared" si="96"/>
        <v>400</v>
      </c>
      <c r="D864" t="str">
        <f>"612893"</f>
        <v>612893</v>
      </c>
      <c r="E864" t="s">
        <v>19</v>
      </c>
      <c r="F864" t="s">
        <v>837</v>
      </c>
      <c r="G864">
        <v>250</v>
      </c>
      <c r="H864" t="str">
        <f>""</f>
        <v/>
      </c>
      <c r="I864">
        <v>5.6</v>
      </c>
      <c r="J864">
        <v>0</v>
      </c>
      <c r="K864" t="str">
        <f t="shared" si="94"/>
        <v>31000</v>
      </c>
      <c r="L864" t="str">
        <f t="shared" si="98"/>
        <v>0</v>
      </c>
      <c r="M864" t="str">
        <f t="shared" si="98"/>
        <v>0</v>
      </c>
      <c r="N864" t="str">
        <f t="shared" si="98"/>
        <v>0</v>
      </c>
    </row>
    <row r="865" spans="1:14" x14ac:dyDescent="0.3">
      <c r="A865" t="s">
        <v>17</v>
      </c>
      <c r="B865" t="s">
        <v>18</v>
      </c>
      <c r="C865" t="str">
        <f t="shared" si="96"/>
        <v>400</v>
      </c>
      <c r="D865" t="str">
        <f>"612898"</f>
        <v>612898</v>
      </c>
      <c r="E865" t="s">
        <v>19</v>
      </c>
      <c r="F865" t="s">
        <v>838</v>
      </c>
      <c r="G865">
        <v>250</v>
      </c>
      <c r="H865" t="str">
        <f>""</f>
        <v/>
      </c>
      <c r="I865">
        <v>5.5</v>
      </c>
      <c r="J865">
        <v>0</v>
      </c>
      <c r="K865" t="str">
        <f t="shared" si="94"/>
        <v>31000</v>
      </c>
      <c r="L865" t="str">
        <f t="shared" si="98"/>
        <v>0</v>
      </c>
      <c r="M865" t="str">
        <f t="shared" si="98"/>
        <v>0</v>
      </c>
      <c r="N865" t="str">
        <f t="shared" si="98"/>
        <v>0</v>
      </c>
    </row>
    <row r="866" spans="1:14" x14ac:dyDescent="0.3">
      <c r="A866" t="s">
        <v>17</v>
      </c>
      <c r="B866" t="s">
        <v>18</v>
      </c>
      <c r="C866" t="str">
        <f t="shared" si="96"/>
        <v>400</v>
      </c>
      <c r="D866" t="str">
        <f>"612933"</f>
        <v>612933</v>
      </c>
      <c r="E866" t="s">
        <v>19</v>
      </c>
      <c r="F866" t="s">
        <v>839</v>
      </c>
      <c r="G866">
        <v>250</v>
      </c>
      <c r="H866" t="str">
        <f>""</f>
        <v/>
      </c>
      <c r="I866">
        <v>2.5</v>
      </c>
      <c r="J866">
        <v>0</v>
      </c>
      <c r="K866" t="str">
        <f t="shared" si="94"/>
        <v>31000</v>
      </c>
      <c r="L866" t="str">
        <f t="shared" si="98"/>
        <v>0</v>
      </c>
      <c r="M866" t="str">
        <f t="shared" si="98"/>
        <v>0</v>
      </c>
      <c r="N866" t="str">
        <f t="shared" si="98"/>
        <v>0</v>
      </c>
    </row>
    <row r="867" spans="1:14" x14ac:dyDescent="0.3">
      <c r="A867" t="s">
        <v>17</v>
      </c>
      <c r="B867" t="s">
        <v>18</v>
      </c>
      <c r="C867" t="str">
        <f t="shared" si="96"/>
        <v>400</v>
      </c>
      <c r="D867" t="str">
        <f>"612960"</f>
        <v>612960</v>
      </c>
      <c r="E867" t="s">
        <v>19</v>
      </c>
      <c r="F867" t="s">
        <v>840</v>
      </c>
      <c r="G867">
        <v>250</v>
      </c>
      <c r="H867" t="str">
        <f>""</f>
        <v/>
      </c>
      <c r="I867">
        <v>4.5</v>
      </c>
      <c r="J867">
        <v>0</v>
      </c>
      <c r="K867" t="str">
        <f t="shared" si="94"/>
        <v>31000</v>
      </c>
      <c r="L867" t="str">
        <f t="shared" si="98"/>
        <v>0</v>
      </c>
      <c r="M867" t="str">
        <f t="shared" si="98"/>
        <v>0</v>
      </c>
      <c r="N867" t="str">
        <f t="shared" si="98"/>
        <v>0</v>
      </c>
    </row>
    <row r="868" spans="1:14" x14ac:dyDescent="0.3">
      <c r="A868" t="s">
        <v>17</v>
      </c>
      <c r="B868" t="s">
        <v>18</v>
      </c>
      <c r="C868" t="str">
        <f t="shared" si="96"/>
        <v>400</v>
      </c>
      <c r="D868" t="str">
        <f>"612969"</f>
        <v>612969</v>
      </c>
      <c r="E868" t="s">
        <v>19</v>
      </c>
      <c r="F868" t="s">
        <v>841</v>
      </c>
      <c r="G868">
        <v>250</v>
      </c>
      <c r="H868" t="str">
        <f>""</f>
        <v/>
      </c>
      <c r="I868">
        <v>8</v>
      </c>
      <c r="J868">
        <v>0</v>
      </c>
      <c r="K868" t="str">
        <f t="shared" si="94"/>
        <v>31000</v>
      </c>
      <c r="L868" t="str">
        <f t="shared" si="98"/>
        <v>0</v>
      </c>
      <c r="M868" t="str">
        <f t="shared" si="98"/>
        <v>0</v>
      </c>
      <c r="N868" t="str">
        <f t="shared" si="98"/>
        <v>0</v>
      </c>
    </row>
    <row r="869" spans="1:14" x14ac:dyDescent="0.3">
      <c r="A869" t="s">
        <v>17</v>
      </c>
      <c r="B869" t="s">
        <v>18</v>
      </c>
      <c r="C869" t="str">
        <f t="shared" si="96"/>
        <v>400</v>
      </c>
      <c r="D869" t="str">
        <f>"612981"</f>
        <v>612981</v>
      </c>
      <c r="E869" t="s">
        <v>19</v>
      </c>
      <c r="F869" t="s">
        <v>842</v>
      </c>
      <c r="G869">
        <v>250</v>
      </c>
      <c r="H869" t="str">
        <f>""</f>
        <v/>
      </c>
      <c r="I869">
        <v>26</v>
      </c>
      <c r="J869">
        <v>0</v>
      </c>
      <c r="K869" t="str">
        <f t="shared" si="94"/>
        <v>31000</v>
      </c>
      <c r="L869" t="str">
        <f t="shared" si="98"/>
        <v>0</v>
      </c>
      <c r="M869" t="str">
        <f t="shared" si="98"/>
        <v>0</v>
      </c>
      <c r="N869" t="str">
        <f t="shared" si="98"/>
        <v>0</v>
      </c>
    </row>
    <row r="870" spans="1:14" x14ac:dyDescent="0.3">
      <c r="A870" t="s">
        <v>17</v>
      </c>
      <c r="B870" t="s">
        <v>18</v>
      </c>
      <c r="C870" t="str">
        <f t="shared" si="96"/>
        <v>400</v>
      </c>
      <c r="D870" t="str">
        <f>"612986"</f>
        <v>612986</v>
      </c>
      <c r="E870" t="s">
        <v>19</v>
      </c>
      <c r="F870" t="s">
        <v>843</v>
      </c>
      <c r="G870">
        <v>250</v>
      </c>
      <c r="H870" t="str">
        <f>""</f>
        <v/>
      </c>
      <c r="I870">
        <v>28.5</v>
      </c>
      <c r="J870">
        <v>0</v>
      </c>
      <c r="K870" t="str">
        <f t="shared" si="94"/>
        <v>31000</v>
      </c>
      <c r="L870" t="str">
        <f t="shared" si="98"/>
        <v>0</v>
      </c>
      <c r="M870" t="str">
        <f t="shared" si="98"/>
        <v>0</v>
      </c>
      <c r="N870" t="str">
        <f t="shared" si="98"/>
        <v>0</v>
      </c>
    </row>
    <row r="871" spans="1:14" x14ac:dyDescent="0.3">
      <c r="A871" t="s">
        <v>17</v>
      </c>
      <c r="B871" t="s">
        <v>18</v>
      </c>
      <c r="C871" t="str">
        <f t="shared" si="96"/>
        <v>400</v>
      </c>
      <c r="D871" t="str">
        <f>"612987"</f>
        <v>612987</v>
      </c>
      <c r="E871" t="s">
        <v>19</v>
      </c>
      <c r="F871" t="s">
        <v>844</v>
      </c>
      <c r="G871">
        <v>250</v>
      </c>
      <c r="H871" t="str">
        <f>""</f>
        <v/>
      </c>
      <c r="I871">
        <v>34</v>
      </c>
      <c r="J871">
        <v>0</v>
      </c>
      <c r="K871" t="str">
        <f t="shared" si="94"/>
        <v>31000</v>
      </c>
      <c r="L871" t="str">
        <f t="shared" si="98"/>
        <v>0</v>
      </c>
      <c r="M871" t="str">
        <f t="shared" si="98"/>
        <v>0</v>
      </c>
      <c r="N871" t="str">
        <f t="shared" si="98"/>
        <v>0</v>
      </c>
    </row>
    <row r="872" spans="1:14" x14ac:dyDescent="0.3">
      <c r="A872" t="s">
        <v>17</v>
      </c>
      <c r="B872" t="s">
        <v>18</v>
      </c>
      <c r="C872" t="str">
        <f t="shared" si="96"/>
        <v>400</v>
      </c>
      <c r="D872" t="str">
        <f>"612988"</f>
        <v>612988</v>
      </c>
      <c r="E872" t="s">
        <v>19</v>
      </c>
      <c r="F872" t="s">
        <v>845</v>
      </c>
      <c r="G872">
        <v>250</v>
      </c>
      <c r="H872" t="str">
        <f>""</f>
        <v/>
      </c>
      <c r="I872">
        <v>36</v>
      </c>
      <c r="J872">
        <v>0</v>
      </c>
      <c r="K872" t="str">
        <f t="shared" si="94"/>
        <v>31000</v>
      </c>
      <c r="L872" t="str">
        <f t="shared" si="98"/>
        <v>0</v>
      </c>
      <c r="M872" t="str">
        <f t="shared" si="98"/>
        <v>0</v>
      </c>
      <c r="N872" t="str">
        <f t="shared" si="98"/>
        <v>0</v>
      </c>
    </row>
    <row r="873" spans="1:14" x14ac:dyDescent="0.3">
      <c r="A873" t="s">
        <v>17</v>
      </c>
      <c r="B873" t="s">
        <v>18</v>
      </c>
      <c r="C873" t="str">
        <f t="shared" si="96"/>
        <v>400</v>
      </c>
      <c r="D873" t="str">
        <f>"612989"</f>
        <v>612989</v>
      </c>
      <c r="E873" t="s">
        <v>19</v>
      </c>
      <c r="F873" t="s">
        <v>846</v>
      </c>
      <c r="G873">
        <v>250</v>
      </c>
      <c r="H873" t="str">
        <f>""</f>
        <v/>
      </c>
      <c r="I873">
        <v>36</v>
      </c>
      <c r="J873">
        <v>0</v>
      </c>
      <c r="K873" t="str">
        <f t="shared" si="94"/>
        <v>31000</v>
      </c>
      <c r="L873" t="str">
        <f t="shared" si="98"/>
        <v>0</v>
      </c>
      <c r="M873" t="str">
        <f t="shared" si="98"/>
        <v>0</v>
      </c>
      <c r="N873" t="str">
        <f t="shared" si="98"/>
        <v>0</v>
      </c>
    </row>
    <row r="874" spans="1:14" x14ac:dyDescent="0.3">
      <c r="A874" t="s">
        <v>17</v>
      </c>
      <c r="B874" t="s">
        <v>18</v>
      </c>
      <c r="C874" t="str">
        <f t="shared" si="96"/>
        <v>400</v>
      </c>
      <c r="D874" t="str">
        <f>"613045"</f>
        <v>613045</v>
      </c>
      <c r="E874" t="s">
        <v>19</v>
      </c>
      <c r="F874" t="s">
        <v>847</v>
      </c>
      <c r="G874">
        <v>250</v>
      </c>
      <c r="H874" t="str">
        <f>""</f>
        <v/>
      </c>
      <c r="I874">
        <v>250</v>
      </c>
      <c r="J874">
        <v>0</v>
      </c>
      <c r="K874" t="str">
        <f t="shared" si="94"/>
        <v>31000</v>
      </c>
      <c r="L874" t="str">
        <f t="shared" si="98"/>
        <v>0</v>
      </c>
      <c r="M874" t="str">
        <f t="shared" si="98"/>
        <v>0</v>
      </c>
      <c r="N874" t="str">
        <f t="shared" si="98"/>
        <v>0</v>
      </c>
    </row>
    <row r="875" spans="1:14" x14ac:dyDescent="0.3">
      <c r="A875" t="s">
        <v>17</v>
      </c>
      <c r="B875" t="s">
        <v>18</v>
      </c>
      <c r="C875" t="str">
        <f t="shared" si="96"/>
        <v>400</v>
      </c>
      <c r="D875" t="str">
        <f>"613081"</f>
        <v>613081</v>
      </c>
      <c r="E875" t="s">
        <v>19</v>
      </c>
      <c r="F875" t="s">
        <v>848</v>
      </c>
      <c r="G875">
        <v>250</v>
      </c>
      <c r="H875" t="str">
        <f>""</f>
        <v/>
      </c>
      <c r="I875">
        <v>5.5</v>
      </c>
      <c r="J875">
        <v>0</v>
      </c>
      <c r="K875" t="str">
        <f t="shared" ref="K875:K938" si="99">"31000"</f>
        <v>31000</v>
      </c>
      <c r="L875" t="str">
        <f t="shared" si="98"/>
        <v>0</v>
      </c>
      <c r="M875" t="str">
        <f t="shared" si="98"/>
        <v>0</v>
      </c>
      <c r="N875" t="str">
        <f t="shared" si="98"/>
        <v>0</v>
      </c>
    </row>
    <row r="876" spans="1:14" x14ac:dyDescent="0.3">
      <c r="A876" t="s">
        <v>17</v>
      </c>
      <c r="B876" t="s">
        <v>18</v>
      </c>
      <c r="C876" t="str">
        <f t="shared" si="96"/>
        <v>400</v>
      </c>
      <c r="D876" t="str">
        <f>"613083"</f>
        <v>613083</v>
      </c>
      <c r="E876" t="s">
        <v>19</v>
      </c>
      <c r="F876" t="s">
        <v>849</v>
      </c>
      <c r="G876">
        <v>250</v>
      </c>
      <c r="H876" t="str">
        <f>""</f>
        <v/>
      </c>
      <c r="I876">
        <v>5.5</v>
      </c>
      <c r="J876">
        <v>0</v>
      </c>
      <c r="K876" t="str">
        <f t="shared" si="99"/>
        <v>31000</v>
      </c>
      <c r="L876" t="str">
        <f t="shared" si="98"/>
        <v>0</v>
      </c>
      <c r="M876" t="str">
        <f t="shared" si="98"/>
        <v>0</v>
      </c>
      <c r="N876" t="str">
        <f t="shared" si="98"/>
        <v>0</v>
      </c>
    </row>
    <row r="877" spans="1:14" x14ac:dyDescent="0.3">
      <c r="A877" t="s">
        <v>17</v>
      </c>
      <c r="B877" t="s">
        <v>18</v>
      </c>
      <c r="C877" t="str">
        <f t="shared" si="96"/>
        <v>400</v>
      </c>
      <c r="D877" t="str">
        <f>"613084"</f>
        <v>613084</v>
      </c>
      <c r="E877" t="s">
        <v>19</v>
      </c>
      <c r="F877" t="s">
        <v>850</v>
      </c>
      <c r="G877">
        <v>250</v>
      </c>
      <c r="H877" t="str">
        <f>""</f>
        <v/>
      </c>
      <c r="I877">
        <v>5.5</v>
      </c>
      <c r="J877">
        <v>0</v>
      </c>
      <c r="K877" t="str">
        <f t="shared" si="99"/>
        <v>31000</v>
      </c>
      <c r="L877" t="str">
        <f t="shared" si="98"/>
        <v>0</v>
      </c>
      <c r="M877" t="str">
        <f t="shared" si="98"/>
        <v>0</v>
      </c>
      <c r="N877" t="str">
        <f t="shared" si="98"/>
        <v>0</v>
      </c>
    </row>
    <row r="878" spans="1:14" x14ac:dyDescent="0.3">
      <c r="A878" t="s">
        <v>17</v>
      </c>
      <c r="B878" t="s">
        <v>18</v>
      </c>
      <c r="C878" t="str">
        <f t="shared" si="96"/>
        <v>400</v>
      </c>
      <c r="D878" t="str">
        <f>"613085"</f>
        <v>613085</v>
      </c>
      <c r="E878" t="s">
        <v>19</v>
      </c>
      <c r="F878" t="s">
        <v>851</v>
      </c>
      <c r="G878">
        <v>250</v>
      </c>
      <c r="H878" t="str">
        <f>""</f>
        <v/>
      </c>
      <c r="I878">
        <v>5.5</v>
      </c>
      <c r="J878">
        <v>0</v>
      </c>
      <c r="K878" t="str">
        <f t="shared" si="99"/>
        <v>31000</v>
      </c>
      <c r="L878" t="str">
        <f t="shared" si="98"/>
        <v>0</v>
      </c>
      <c r="M878" t="str">
        <f t="shared" si="98"/>
        <v>0</v>
      </c>
      <c r="N878" t="str">
        <f t="shared" si="98"/>
        <v>0</v>
      </c>
    </row>
    <row r="879" spans="1:14" x14ac:dyDescent="0.3">
      <c r="A879" t="s">
        <v>17</v>
      </c>
      <c r="B879" t="s">
        <v>18</v>
      </c>
      <c r="C879" t="str">
        <f t="shared" si="96"/>
        <v>400</v>
      </c>
      <c r="D879" t="str">
        <f>"613101"</f>
        <v>613101</v>
      </c>
      <c r="E879" t="s">
        <v>19</v>
      </c>
      <c r="F879" t="s">
        <v>852</v>
      </c>
      <c r="G879">
        <v>250</v>
      </c>
      <c r="H879" t="str">
        <f>""</f>
        <v/>
      </c>
      <c r="I879">
        <v>5.5</v>
      </c>
      <c r="J879">
        <v>0</v>
      </c>
      <c r="K879" t="str">
        <f t="shared" si="99"/>
        <v>31000</v>
      </c>
      <c r="L879" t="str">
        <f t="shared" si="98"/>
        <v>0</v>
      </c>
      <c r="M879" t="str">
        <f t="shared" si="98"/>
        <v>0</v>
      </c>
      <c r="N879" t="str">
        <f t="shared" si="98"/>
        <v>0</v>
      </c>
    </row>
    <row r="880" spans="1:14" x14ac:dyDescent="0.3">
      <c r="A880" t="s">
        <v>17</v>
      </c>
      <c r="B880" t="s">
        <v>18</v>
      </c>
      <c r="C880" t="str">
        <f t="shared" si="96"/>
        <v>400</v>
      </c>
      <c r="D880" t="str">
        <f>"61311"</f>
        <v>61311</v>
      </c>
      <c r="E880" t="s">
        <v>19</v>
      </c>
      <c r="F880" t="s">
        <v>853</v>
      </c>
      <c r="G880">
        <v>250</v>
      </c>
      <c r="I880">
        <v>6.5</v>
      </c>
      <c r="J880">
        <v>0</v>
      </c>
      <c r="K880" t="str">
        <f t="shared" si="99"/>
        <v>31000</v>
      </c>
    </row>
    <row r="881" spans="1:14" x14ac:dyDescent="0.3">
      <c r="A881" t="s">
        <v>17</v>
      </c>
      <c r="B881" t="s">
        <v>18</v>
      </c>
      <c r="C881" t="str">
        <f t="shared" si="96"/>
        <v>400</v>
      </c>
      <c r="D881" t="str">
        <f>"613201"</f>
        <v>613201</v>
      </c>
      <c r="E881" t="s">
        <v>19</v>
      </c>
      <c r="F881" t="s">
        <v>854</v>
      </c>
      <c r="G881">
        <v>250</v>
      </c>
      <c r="H881" t="str">
        <f>""</f>
        <v/>
      </c>
      <c r="I881">
        <v>5.5</v>
      </c>
      <c r="J881">
        <v>0</v>
      </c>
      <c r="K881" t="str">
        <f t="shared" si="99"/>
        <v>31000</v>
      </c>
      <c r="L881" t="str">
        <f t="shared" ref="L881:N884" si="100">"0"</f>
        <v>0</v>
      </c>
      <c r="M881" t="str">
        <f t="shared" si="100"/>
        <v>0</v>
      </c>
      <c r="N881" t="str">
        <f t="shared" si="100"/>
        <v>0</v>
      </c>
    </row>
    <row r="882" spans="1:14" x14ac:dyDescent="0.3">
      <c r="A882" t="s">
        <v>17</v>
      </c>
      <c r="B882" t="s">
        <v>18</v>
      </c>
      <c r="C882" t="str">
        <f t="shared" si="96"/>
        <v>400</v>
      </c>
      <c r="D882" t="str">
        <f>"613204"</f>
        <v>613204</v>
      </c>
      <c r="E882" t="s">
        <v>19</v>
      </c>
      <c r="F882" t="s">
        <v>855</v>
      </c>
      <c r="G882">
        <v>250</v>
      </c>
      <c r="H882" t="str">
        <f>""</f>
        <v/>
      </c>
      <c r="I882">
        <v>4.5</v>
      </c>
      <c r="J882">
        <v>0</v>
      </c>
      <c r="K882" t="str">
        <f t="shared" si="99"/>
        <v>31000</v>
      </c>
      <c r="L882" t="str">
        <f t="shared" si="100"/>
        <v>0</v>
      </c>
      <c r="M882" t="str">
        <f t="shared" si="100"/>
        <v>0</v>
      </c>
      <c r="N882" t="str">
        <f t="shared" si="100"/>
        <v>0</v>
      </c>
    </row>
    <row r="883" spans="1:14" x14ac:dyDescent="0.3">
      <c r="A883" t="s">
        <v>17</v>
      </c>
      <c r="B883" t="s">
        <v>18</v>
      </c>
      <c r="C883" t="str">
        <f t="shared" si="96"/>
        <v>400</v>
      </c>
      <c r="D883" t="str">
        <f>"613205"</f>
        <v>613205</v>
      </c>
      <c r="E883" t="s">
        <v>19</v>
      </c>
      <c r="F883" t="s">
        <v>856</v>
      </c>
      <c r="G883">
        <v>250</v>
      </c>
      <c r="H883" t="str">
        <f>""</f>
        <v/>
      </c>
      <c r="I883">
        <v>13.5</v>
      </c>
      <c r="J883">
        <v>0</v>
      </c>
      <c r="K883" t="str">
        <f t="shared" si="99"/>
        <v>31000</v>
      </c>
      <c r="L883" t="str">
        <f t="shared" si="100"/>
        <v>0</v>
      </c>
      <c r="M883" t="str">
        <f t="shared" si="100"/>
        <v>0</v>
      </c>
      <c r="N883" t="str">
        <f t="shared" si="100"/>
        <v>0</v>
      </c>
    </row>
    <row r="884" spans="1:14" x14ac:dyDescent="0.3">
      <c r="A884" t="s">
        <v>17</v>
      </c>
      <c r="B884" t="s">
        <v>18</v>
      </c>
      <c r="C884" t="str">
        <f t="shared" si="96"/>
        <v>400</v>
      </c>
      <c r="D884" t="str">
        <f>"613206"</f>
        <v>613206</v>
      </c>
      <c r="E884" t="s">
        <v>19</v>
      </c>
      <c r="F884" t="s">
        <v>857</v>
      </c>
      <c r="G884">
        <v>250</v>
      </c>
      <c r="H884" t="str">
        <f>""</f>
        <v/>
      </c>
      <c r="I884">
        <v>13.5</v>
      </c>
      <c r="J884">
        <v>0</v>
      </c>
      <c r="K884" t="str">
        <f t="shared" si="99"/>
        <v>31000</v>
      </c>
      <c r="L884" t="str">
        <f t="shared" si="100"/>
        <v>0</v>
      </c>
      <c r="M884" t="str">
        <f t="shared" si="100"/>
        <v>0</v>
      </c>
      <c r="N884" t="str">
        <f t="shared" si="100"/>
        <v>0</v>
      </c>
    </row>
    <row r="885" spans="1:14" x14ac:dyDescent="0.3">
      <c r="A885" t="s">
        <v>17</v>
      </c>
      <c r="B885" t="s">
        <v>18</v>
      </c>
      <c r="C885" t="str">
        <f t="shared" si="96"/>
        <v>400</v>
      </c>
      <c r="D885" t="str">
        <f>"613207"</f>
        <v>613207</v>
      </c>
      <c r="E885" t="s">
        <v>19</v>
      </c>
      <c r="F885" t="s">
        <v>858</v>
      </c>
      <c r="G885">
        <v>250</v>
      </c>
      <c r="I885">
        <v>16.18</v>
      </c>
      <c r="J885">
        <v>0</v>
      </c>
      <c r="K885" t="str">
        <f t="shared" si="99"/>
        <v>31000</v>
      </c>
    </row>
    <row r="886" spans="1:14" x14ac:dyDescent="0.3">
      <c r="A886" t="s">
        <v>17</v>
      </c>
      <c r="B886" t="s">
        <v>18</v>
      </c>
      <c r="C886" t="str">
        <f t="shared" si="96"/>
        <v>400</v>
      </c>
      <c r="D886" t="str">
        <f>"613208"</f>
        <v>613208</v>
      </c>
      <c r="E886" t="s">
        <v>19</v>
      </c>
      <c r="F886" t="s">
        <v>859</v>
      </c>
      <c r="G886">
        <v>250</v>
      </c>
      <c r="H886" t="str">
        <f>""</f>
        <v/>
      </c>
      <c r="I886">
        <v>13.5</v>
      </c>
      <c r="J886">
        <v>0</v>
      </c>
      <c r="K886" t="str">
        <f t="shared" si="99"/>
        <v>31000</v>
      </c>
      <c r="L886" t="str">
        <f t="shared" ref="L886:N887" si="101">"0"</f>
        <v>0</v>
      </c>
      <c r="M886" t="str">
        <f t="shared" si="101"/>
        <v>0</v>
      </c>
      <c r="N886" t="str">
        <f t="shared" si="101"/>
        <v>0</v>
      </c>
    </row>
    <row r="887" spans="1:14" x14ac:dyDescent="0.3">
      <c r="A887" t="s">
        <v>17</v>
      </c>
      <c r="B887" t="s">
        <v>18</v>
      </c>
      <c r="C887" t="str">
        <f t="shared" si="96"/>
        <v>400</v>
      </c>
      <c r="D887" t="str">
        <f>"613209"</f>
        <v>613209</v>
      </c>
      <c r="E887" t="s">
        <v>19</v>
      </c>
      <c r="F887" t="s">
        <v>860</v>
      </c>
      <c r="G887">
        <v>250</v>
      </c>
      <c r="H887" t="str">
        <f>""</f>
        <v/>
      </c>
      <c r="I887">
        <v>13.5</v>
      </c>
      <c r="J887">
        <v>0</v>
      </c>
      <c r="K887" t="str">
        <f t="shared" si="99"/>
        <v>31000</v>
      </c>
      <c r="L887" t="str">
        <f t="shared" si="101"/>
        <v>0</v>
      </c>
      <c r="M887" t="str">
        <f t="shared" si="101"/>
        <v>0</v>
      </c>
      <c r="N887" t="str">
        <f t="shared" si="101"/>
        <v>0</v>
      </c>
    </row>
    <row r="888" spans="1:14" x14ac:dyDescent="0.3">
      <c r="A888" t="s">
        <v>17</v>
      </c>
      <c r="B888" t="s">
        <v>18</v>
      </c>
      <c r="C888" t="str">
        <f t="shared" si="96"/>
        <v>400</v>
      </c>
      <c r="D888" t="str">
        <f>"613210"</f>
        <v>613210</v>
      </c>
      <c r="E888" t="s">
        <v>19</v>
      </c>
      <c r="F888" t="s">
        <v>861</v>
      </c>
      <c r="G888">
        <v>250</v>
      </c>
      <c r="I888">
        <v>26.13</v>
      </c>
      <c r="J888">
        <v>0</v>
      </c>
      <c r="K888" t="str">
        <f t="shared" si="99"/>
        <v>31000</v>
      </c>
    </row>
    <row r="889" spans="1:14" x14ac:dyDescent="0.3">
      <c r="A889" t="s">
        <v>17</v>
      </c>
      <c r="B889" t="s">
        <v>18</v>
      </c>
      <c r="C889" t="str">
        <f t="shared" si="96"/>
        <v>400</v>
      </c>
      <c r="D889" t="str">
        <f>"613214"</f>
        <v>613214</v>
      </c>
      <c r="E889" t="s">
        <v>19</v>
      </c>
      <c r="F889" t="s">
        <v>862</v>
      </c>
      <c r="G889">
        <v>250</v>
      </c>
      <c r="H889" t="str">
        <f>""</f>
        <v/>
      </c>
      <c r="I889">
        <v>5.95</v>
      </c>
      <c r="J889">
        <v>0</v>
      </c>
      <c r="K889" t="str">
        <f t="shared" si="99"/>
        <v>31000</v>
      </c>
      <c r="L889" t="str">
        <f t="shared" ref="L889:N896" si="102">"0"</f>
        <v>0</v>
      </c>
      <c r="M889" t="str">
        <f t="shared" si="102"/>
        <v>0</v>
      </c>
      <c r="N889" t="str">
        <f t="shared" si="102"/>
        <v>0</v>
      </c>
    </row>
    <row r="890" spans="1:14" x14ac:dyDescent="0.3">
      <c r="A890" t="s">
        <v>17</v>
      </c>
      <c r="B890" t="s">
        <v>18</v>
      </c>
      <c r="C890" t="str">
        <f t="shared" si="96"/>
        <v>400</v>
      </c>
      <c r="D890" t="str">
        <f>"613215"</f>
        <v>613215</v>
      </c>
      <c r="E890" t="s">
        <v>19</v>
      </c>
      <c r="F890" t="s">
        <v>863</v>
      </c>
      <c r="G890">
        <v>250</v>
      </c>
      <c r="H890" t="str">
        <f>""</f>
        <v/>
      </c>
      <c r="I890">
        <v>5.75</v>
      </c>
      <c r="J890">
        <v>0</v>
      </c>
      <c r="K890" t="str">
        <f t="shared" si="99"/>
        <v>31000</v>
      </c>
      <c r="L890" t="str">
        <f t="shared" si="102"/>
        <v>0</v>
      </c>
      <c r="M890" t="str">
        <f t="shared" si="102"/>
        <v>0</v>
      </c>
      <c r="N890" t="str">
        <f t="shared" si="102"/>
        <v>0</v>
      </c>
    </row>
    <row r="891" spans="1:14" x14ac:dyDescent="0.3">
      <c r="A891" t="s">
        <v>17</v>
      </c>
      <c r="B891" t="s">
        <v>18</v>
      </c>
      <c r="C891" t="str">
        <f t="shared" si="96"/>
        <v>400</v>
      </c>
      <c r="D891" t="str">
        <f>"613244"</f>
        <v>613244</v>
      </c>
      <c r="E891" t="s">
        <v>19</v>
      </c>
      <c r="F891" t="s">
        <v>864</v>
      </c>
      <c r="G891">
        <v>250</v>
      </c>
      <c r="H891" t="str">
        <f>""</f>
        <v/>
      </c>
      <c r="I891">
        <v>2.5</v>
      </c>
      <c r="J891">
        <v>0</v>
      </c>
      <c r="K891" t="str">
        <f t="shared" si="99"/>
        <v>31000</v>
      </c>
      <c r="L891" t="str">
        <f t="shared" si="102"/>
        <v>0</v>
      </c>
      <c r="M891" t="str">
        <f t="shared" si="102"/>
        <v>0</v>
      </c>
      <c r="N891" t="str">
        <f t="shared" si="102"/>
        <v>0</v>
      </c>
    </row>
    <row r="892" spans="1:14" x14ac:dyDescent="0.3">
      <c r="A892" t="s">
        <v>17</v>
      </c>
      <c r="B892" t="s">
        <v>18</v>
      </c>
      <c r="C892" t="str">
        <f t="shared" si="96"/>
        <v>400</v>
      </c>
      <c r="D892" t="str">
        <f>"613245"</f>
        <v>613245</v>
      </c>
      <c r="E892" t="s">
        <v>19</v>
      </c>
      <c r="F892" t="s">
        <v>865</v>
      </c>
      <c r="G892">
        <v>250</v>
      </c>
      <c r="H892" t="str">
        <f>""</f>
        <v/>
      </c>
      <c r="I892">
        <v>4.5</v>
      </c>
      <c r="J892">
        <v>0</v>
      </c>
      <c r="K892" t="str">
        <f t="shared" si="99"/>
        <v>31000</v>
      </c>
      <c r="L892" t="str">
        <f t="shared" si="102"/>
        <v>0</v>
      </c>
      <c r="M892" t="str">
        <f t="shared" si="102"/>
        <v>0</v>
      </c>
      <c r="N892" t="str">
        <f t="shared" si="102"/>
        <v>0</v>
      </c>
    </row>
    <row r="893" spans="1:14" x14ac:dyDescent="0.3">
      <c r="A893" t="s">
        <v>17</v>
      </c>
      <c r="B893" t="s">
        <v>18</v>
      </c>
      <c r="C893" t="str">
        <f t="shared" si="96"/>
        <v>400</v>
      </c>
      <c r="D893" t="str">
        <f>"613249"</f>
        <v>613249</v>
      </c>
      <c r="E893" t="s">
        <v>19</v>
      </c>
      <c r="F893" t="s">
        <v>866</v>
      </c>
      <c r="G893">
        <v>250</v>
      </c>
      <c r="H893" t="str">
        <f>""</f>
        <v/>
      </c>
      <c r="I893">
        <v>44.78</v>
      </c>
      <c r="J893">
        <v>0</v>
      </c>
      <c r="K893" t="str">
        <f t="shared" si="99"/>
        <v>31000</v>
      </c>
      <c r="L893" t="str">
        <f t="shared" si="102"/>
        <v>0</v>
      </c>
      <c r="M893" t="str">
        <f t="shared" si="102"/>
        <v>0</v>
      </c>
      <c r="N893" t="str">
        <f t="shared" si="102"/>
        <v>0</v>
      </c>
    </row>
    <row r="894" spans="1:14" x14ac:dyDescent="0.3">
      <c r="A894" t="s">
        <v>17</v>
      </c>
      <c r="B894" t="s">
        <v>18</v>
      </c>
      <c r="C894" t="str">
        <f t="shared" si="96"/>
        <v>400</v>
      </c>
      <c r="D894" t="str">
        <f>"613254"</f>
        <v>613254</v>
      </c>
      <c r="E894" t="s">
        <v>19</v>
      </c>
      <c r="F894" t="s">
        <v>867</v>
      </c>
      <c r="G894">
        <v>250</v>
      </c>
      <c r="H894" t="str">
        <f>""</f>
        <v/>
      </c>
      <c r="I894">
        <v>90</v>
      </c>
      <c r="J894">
        <v>0</v>
      </c>
      <c r="K894" t="str">
        <f t="shared" si="99"/>
        <v>31000</v>
      </c>
      <c r="L894" t="str">
        <f t="shared" si="102"/>
        <v>0</v>
      </c>
      <c r="M894" t="str">
        <f t="shared" si="102"/>
        <v>0</v>
      </c>
      <c r="N894" t="str">
        <f t="shared" si="102"/>
        <v>0</v>
      </c>
    </row>
    <row r="895" spans="1:14" x14ac:dyDescent="0.3">
      <c r="A895" t="s">
        <v>17</v>
      </c>
      <c r="B895" t="s">
        <v>18</v>
      </c>
      <c r="C895" t="str">
        <f t="shared" si="96"/>
        <v>400</v>
      </c>
      <c r="D895" t="str">
        <f>"613256"</f>
        <v>613256</v>
      </c>
      <c r="E895" t="s">
        <v>19</v>
      </c>
      <c r="F895" t="s">
        <v>868</v>
      </c>
      <c r="G895">
        <v>250</v>
      </c>
      <c r="H895" t="str">
        <f>""</f>
        <v/>
      </c>
      <c r="I895">
        <v>18</v>
      </c>
      <c r="J895">
        <v>0</v>
      </c>
      <c r="K895" t="str">
        <f t="shared" si="99"/>
        <v>31000</v>
      </c>
      <c r="L895" t="str">
        <f t="shared" si="102"/>
        <v>0</v>
      </c>
      <c r="M895" t="str">
        <f t="shared" si="102"/>
        <v>0</v>
      </c>
      <c r="N895" t="str">
        <f t="shared" si="102"/>
        <v>0</v>
      </c>
    </row>
    <row r="896" spans="1:14" x14ac:dyDescent="0.3">
      <c r="A896" t="s">
        <v>17</v>
      </c>
      <c r="B896" t="s">
        <v>18</v>
      </c>
      <c r="C896" t="str">
        <f t="shared" si="96"/>
        <v>400</v>
      </c>
      <c r="D896" t="str">
        <f>"613258"</f>
        <v>613258</v>
      </c>
      <c r="E896" t="s">
        <v>19</v>
      </c>
      <c r="F896" t="s">
        <v>869</v>
      </c>
      <c r="G896">
        <v>250</v>
      </c>
      <c r="H896" t="str">
        <f>""</f>
        <v/>
      </c>
      <c r="I896">
        <v>8.5</v>
      </c>
      <c r="J896">
        <v>0</v>
      </c>
      <c r="K896" t="str">
        <f t="shared" si="99"/>
        <v>31000</v>
      </c>
      <c r="L896" t="str">
        <f t="shared" si="102"/>
        <v>0</v>
      </c>
      <c r="M896" t="str">
        <f t="shared" si="102"/>
        <v>0</v>
      </c>
      <c r="N896" t="str">
        <f t="shared" si="102"/>
        <v>0</v>
      </c>
    </row>
    <row r="897" spans="1:14" x14ac:dyDescent="0.3">
      <c r="A897" t="s">
        <v>17</v>
      </c>
      <c r="B897" t="s">
        <v>18</v>
      </c>
      <c r="C897" t="str">
        <f t="shared" si="96"/>
        <v>400</v>
      </c>
      <c r="D897" t="str">
        <f>"613298"</f>
        <v>613298</v>
      </c>
      <c r="E897" t="s">
        <v>19</v>
      </c>
      <c r="F897" t="s">
        <v>870</v>
      </c>
      <c r="G897">
        <v>250</v>
      </c>
      <c r="I897">
        <v>128.44</v>
      </c>
      <c r="J897">
        <v>0</v>
      </c>
      <c r="K897" t="str">
        <f t="shared" si="99"/>
        <v>31000</v>
      </c>
    </row>
    <row r="898" spans="1:14" x14ac:dyDescent="0.3">
      <c r="A898" t="s">
        <v>17</v>
      </c>
      <c r="B898" t="s">
        <v>18</v>
      </c>
      <c r="C898" t="str">
        <f t="shared" ref="C898:C961" si="103">"400"</f>
        <v>400</v>
      </c>
      <c r="D898" t="str">
        <f>"613299"</f>
        <v>613299</v>
      </c>
      <c r="E898" t="s">
        <v>19</v>
      </c>
      <c r="F898" t="s">
        <v>871</v>
      </c>
      <c r="G898">
        <v>250</v>
      </c>
      <c r="H898" t="str">
        <f>""</f>
        <v/>
      </c>
      <c r="I898">
        <v>6.15</v>
      </c>
      <c r="J898">
        <v>0</v>
      </c>
      <c r="K898" t="str">
        <f t="shared" si="99"/>
        <v>31000</v>
      </c>
      <c r="L898" t="str">
        <f t="shared" ref="L898:N908" si="104">"0"</f>
        <v>0</v>
      </c>
      <c r="M898" t="str">
        <f t="shared" si="104"/>
        <v>0</v>
      </c>
      <c r="N898" t="str">
        <f t="shared" si="104"/>
        <v>0</v>
      </c>
    </row>
    <row r="899" spans="1:14" x14ac:dyDescent="0.3">
      <c r="A899" t="s">
        <v>17</v>
      </c>
      <c r="B899" t="s">
        <v>18</v>
      </c>
      <c r="C899" t="str">
        <f t="shared" si="103"/>
        <v>400</v>
      </c>
      <c r="D899" t="str">
        <f>"613333"</f>
        <v>613333</v>
      </c>
      <c r="E899" t="s">
        <v>19</v>
      </c>
      <c r="F899" t="s">
        <v>872</v>
      </c>
      <c r="G899">
        <v>250</v>
      </c>
      <c r="H899" t="str">
        <f>""</f>
        <v/>
      </c>
      <c r="I899">
        <v>13.47</v>
      </c>
      <c r="J899">
        <v>0</v>
      </c>
      <c r="K899" t="str">
        <f t="shared" si="99"/>
        <v>31000</v>
      </c>
      <c r="L899" t="str">
        <f t="shared" si="104"/>
        <v>0</v>
      </c>
      <c r="M899" t="str">
        <f t="shared" si="104"/>
        <v>0</v>
      </c>
      <c r="N899" t="str">
        <f t="shared" si="104"/>
        <v>0</v>
      </c>
    </row>
    <row r="900" spans="1:14" x14ac:dyDescent="0.3">
      <c r="A900" t="s">
        <v>17</v>
      </c>
      <c r="B900" t="s">
        <v>18</v>
      </c>
      <c r="C900" t="str">
        <f t="shared" si="103"/>
        <v>400</v>
      </c>
      <c r="D900" t="str">
        <f>"613435"</f>
        <v>613435</v>
      </c>
      <c r="E900" t="s">
        <v>19</v>
      </c>
      <c r="F900" t="s">
        <v>873</v>
      </c>
      <c r="G900">
        <v>250</v>
      </c>
      <c r="H900" t="str">
        <f>""</f>
        <v/>
      </c>
      <c r="I900">
        <v>457.59</v>
      </c>
      <c r="J900">
        <v>0</v>
      </c>
      <c r="K900" t="str">
        <f t="shared" si="99"/>
        <v>31000</v>
      </c>
      <c r="L900" t="str">
        <f t="shared" si="104"/>
        <v>0</v>
      </c>
      <c r="M900" t="str">
        <f t="shared" si="104"/>
        <v>0</v>
      </c>
      <c r="N900" t="str">
        <f t="shared" si="104"/>
        <v>0</v>
      </c>
    </row>
    <row r="901" spans="1:14" x14ac:dyDescent="0.3">
      <c r="A901" t="s">
        <v>17</v>
      </c>
      <c r="B901" t="s">
        <v>18</v>
      </c>
      <c r="C901" t="str">
        <f t="shared" si="103"/>
        <v>400</v>
      </c>
      <c r="D901" t="str">
        <f>"613437"</f>
        <v>613437</v>
      </c>
      <c r="E901" t="s">
        <v>19</v>
      </c>
      <c r="F901" t="s">
        <v>874</v>
      </c>
      <c r="G901">
        <v>250</v>
      </c>
      <c r="H901" t="str">
        <f>""</f>
        <v/>
      </c>
      <c r="I901">
        <v>9.9499999999999993</v>
      </c>
      <c r="J901">
        <v>0</v>
      </c>
      <c r="K901" t="str">
        <f t="shared" si="99"/>
        <v>31000</v>
      </c>
      <c r="L901" t="str">
        <f t="shared" si="104"/>
        <v>0</v>
      </c>
      <c r="M901" t="str">
        <f t="shared" si="104"/>
        <v>0</v>
      </c>
      <c r="N901" t="str">
        <f t="shared" si="104"/>
        <v>0</v>
      </c>
    </row>
    <row r="902" spans="1:14" x14ac:dyDescent="0.3">
      <c r="A902" t="s">
        <v>17</v>
      </c>
      <c r="B902" t="s">
        <v>18</v>
      </c>
      <c r="C902" t="str">
        <f t="shared" si="103"/>
        <v>400</v>
      </c>
      <c r="D902" t="str">
        <f>"613486"</f>
        <v>613486</v>
      </c>
      <c r="E902" t="s">
        <v>19</v>
      </c>
      <c r="F902" t="s">
        <v>875</v>
      </c>
      <c r="G902">
        <v>250</v>
      </c>
      <c r="H902" t="str">
        <f>""</f>
        <v/>
      </c>
      <c r="I902">
        <v>2.5</v>
      </c>
      <c r="J902">
        <v>0</v>
      </c>
      <c r="K902" t="str">
        <f t="shared" si="99"/>
        <v>31000</v>
      </c>
      <c r="L902" t="str">
        <f t="shared" si="104"/>
        <v>0</v>
      </c>
      <c r="M902" t="str">
        <f t="shared" si="104"/>
        <v>0</v>
      </c>
      <c r="N902" t="str">
        <f t="shared" si="104"/>
        <v>0</v>
      </c>
    </row>
    <row r="903" spans="1:14" x14ac:dyDescent="0.3">
      <c r="A903" t="s">
        <v>17</v>
      </c>
      <c r="B903" t="s">
        <v>18</v>
      </c>
      <c r="C903" t="str">
        <f t="shared" si="103"/>
        <v>400</v>
      </c>
      <c r="D903" t="str">
        <f>"613488"</f>
        <v>613488</v>
      </c>
      <c r="E903" t="s">
        <v>19</v>
      </c>
      <c r="F903" t="s">
        <v>876</v>
      </c>
      <c r="G903">
        <v>250</v>
      </c>
      <c r="H903" t="str">
        <f>""</f>
        <v/>
      </c>
      <c r="I903">
        <v>14.97</v>
      </c>
      <c r="J903">
        <v>0</v>
      </c>
      <c r="K903" t="str">
        <f t="shared" si="99"/>
        <v>31000</v>
      </c>
      <c r="L903" t="str">
        <f t="shared" si="104"/>
        <v>0</v>
      </c>
      <c r="M903" t="str">
        <f t="shared" si="104"/>
        <v>0</v>
      </c>
      <c r="N903" t="str">
        <f t="shared" si="104"/>
        <v>0</v>
      </c>
    </row>
    <row r="904" spans="1:14" x14ac:dyDescent="0.3">
      <c r="A904" t="s">
        <v>17</v>
      </c>
      <c r="B904" t="s">
        <v>18</v>
      </c>
      <c r="C904" t="str">
        <f t="shared" si="103"/>
        <v>400</v>
      </c>
      <c r="D904" t="str">
        <f>"613492"</f>
        <v>613492</v>
      </c>
      <c r="E904" t="s">
        <v>19</v>
      </c>
      <c r="F904" t="s">
        <v>877</v>
      </c>
      <c r="G904">
        <v>250</v>
      </c>
      <c r="H904" t="str">
        <f>""</f>
        <v/>
      </c>
      <c r="I904">
        <v>39</v>
      </c>
      <c r="J904">
        <v>0</v>
      </c>
      <c r="K904" t="str">
        <f t="shared" si="99"/>
        <v>31000</v>
      </c>
      <c r="L904" t="str">
        <f t="shared" si="104"/>
        <v>0</v>
      </c>
      <c r="M904" t="str">
        <f t="shared" si="104"/>
        <v>0</v>
      </c>
      <c r="N904" t="str">
        <f t="shared" si="104"/>
        <v>0</v>
      </c>
    </row>
    <row r="905" spans="1:14" x14ac:dyDescent="0.3">
      <c r="A905" t="s">
        <v>17</v>
      </c>
      <c r="B905" t="s">
        <v>18</v>
      </c>
      <c r="C905" t="str">
        <f t="shared" si="103"/>
        <v>400</v>
      </c>
      <c r="D905" t="str">
        <f>"613514"</f>
        <v>613514</v>
      </c>
      <c r="E905" t="s">
        <v>19</v>
      </c>
      <c r="F905" t="s">
        <v>878</v>
      </c>
      <c r="G905">
        <v>250</v>
      </c>
      <c r="H905" t="str">
        <f>""</f>
        <v/>
      </c>
      <c r="I905">
        <v>5.5</v>
      </c>
      <c r="J905">
        <v>0</v>
      </c>
      <c r="K905" t="str">
        <f t="shared" si="99"/>
        <v>31000</v>
      </c>
      <c r="L905" t="str">
        <f t="shared" si="104"/>
        <v>0</v>
      </c>
      <c r="M905" t="str">
        <f t="shared" si="104"/>
        <v>0</v>
      </c>
      <c r="N905" t="str">
        <f t="shared" si="104"/>
        <v>0</v>
      </c>
    </row>
    <row r="906" spans="1:14" x14ac:dyDescent="0.3">
      <c r="A906" t="s">
        <v>17</v>
      </c>
      <c r="B906" t="s">
        <v>18</v>
      </c>
      <c r="C906" t="str">
        <f t="shared" si="103"/>
        <v>400</v>
      </c>
      <c r="D906" t="str">
        <f>"613524"</f>
        <v>613524</v>
      </c>
      <c r="E906" t="s">
        <v>19</v>
      </c>
      <c r="F906" t="s">
        <v>879</v>
      </c>
      <c r="G906">
        <v>250</v>
      </c>
      <c r="H906" t="str">
        <f>""</f>
        <v/>
      </c>
      <c r="I906">
        <v>4.5</v>
      </c>
      <c r="J906">
        <v>0</v>
      </c>
      <c r="K906" t="str">
        <f t="shared" si="99"/>
        <v>31000</v>
      </c>
      <c r="L906" t="str">
        <f t="shared" si="104"/>
        <v>0</v>
      </c>
      <c r="M906" t="str">
        <f t="shared" si="104"/>
        <v>0</v>
      </c>
      <c r="N906" t="str">
        <f t="shared" si="104"/>
        <v>0</v>
      </c>
    </row>
    <row r="907" spans="1:14" x14ac:dyDescent="0.3">
      <c r="A907" t="s">
        <v>17</v>
      </c>
      <c r="B907" t="s">
        <v>18</v>
      </c>
      <c r="C907" t="str">
        <f t="shared" si="103"/>
        <v>400</v>
      </c>
      <c r="D907" t="str">
        <f>"613543"</f>
        <v>613543</v>
      </c>
      <c r="E907" t="s">
        <v>19</v>
      </c>
      <c r="F907" t="s">
        <v>880</v>
      </c>
      <c r="G907">
        <v>250</v>
      </c>
      <c r="H907" t="str">
        <f>""</f>
        <v/>
      </c>
      <c r="I907">
        <v>5.2</v>
      </c>
      <c r="J907">
        <v>0</v>
      </c>
      <c r="K907" t="str">
        <f t="shared" si="99"/>
        <v>31000</v>
      </c>
      <c r="L907" t="str">
        <f t="shared" si="104"/>
        <v>0</v>
      </c>
      <c r="M907" t="str">
        <f t="shared" si="104"/>
        <v>0</v>
      </c>
      <c r="N907" t="str">
        <f t="shared" si="104"/>
        <v>0</v>
      </c>
    </row>
    <row r="908" spans="1:14" x14ac:dyDescent="0.3">
      <c r="A908" t="s">
        <v>17</v>
      </c>
      <c r="B908" t="s">
        <v>18</v>
      </c>
      <c r="C908" t="str">
        <f t="shared" si="103"/>
        <v>400</v>
      </c>
      <c r="D908" t="str">
        <f>"613544"</f>
        <v>613544</v>
      </c>
      <c r="E908" t="s">
        <v>19</v>
      </c>
      <c r="F908" t="s">
        <v>881</v>
      </c>
      <c r="G908">
        <v>250</v>
      </c>
      <c r="H908" t="str">
        <f>""</f>
        <v/>
      </c>
      <c r="I908">
        <v>2.5</v>
      </c>
      <c r="J908">
        <v>0</v>
      </c>
      <c r="K908" t="str">
        <f t="shared" si="99"/>
        <v>31000</v>
      </c>
      <c r="L908" t="str">
        <f t="shared" si="104"/>
        <v>0</v>
      </c>
      <c r="M908" t="str">
        <f t="shared" si="104"/>
        <v>0</v>
      </c>
      <c r="N908" t="str">
        <f t="shared" si="104"/>
        <v>0</v>
      </c>
    </row>
    <row r="909" spans="1:14" x14ac:dyDescent="0.3">
      <c r="A909" t="s">
        <v>17</v>
      </c>
      <c r="B909" t="s">
        <v>18</v>
      </c>
      <c r="C909" t="str">
        <f t="shared" si="103"/>
        <v>400</v>
      </c>
      <c r="D909" t="str">
        <f>"613545"</f>
        <v>613545</v>
      </c>
      <c r="E909" t="s">
        <v>19</v>
      </c>
      <c r="F909" t="s">
        <v>882</v>
      </c>
      <c r="G909">
        <v>250</v>
      </c>
      <c r="I909">
        <v>8.52</v>
      </c>
      <c r="J909">
        <v>0</v>
      </c>
      <c r="K909" t="str">
        <f t="shared" si="99"/>
        <v>31000</v>
      </c>
    </row>
    <row r="910" spans="1:14" x14ac:dyDescent="0.3">
      <c r="A910" t="s">
        <v>17</v>
      </c>
      <c r="B910" t="s">
        <v>18</v>
      </c>
      <c r="C910" t="str">
        <f t="shared" si="103"/>
        <v>400</v>
      </c>
      <c r="D910" t="str">
        <f>"613548"</f>
        <v>613548</v>
      </c>
      <c r="E910" t="s">
        <v>19</v>
      </c>
      <c r="F910" t="s">
        <v>883</v>
      </c>
      <c r="G910">
        <v>250</v>
      </c>
      <c r="H910" t="str">
        <f>""</f>
        <v/>
      </c>
      <c r="I910">
        <v>14.82</v>
      </c>
      <c r="J910">
        <v>0</v>
      </c>
      <c r="K910" t="str">
        <f t="shared" si="99"/>
        <v>31000</v>
      </c>
      <c r="L910" t="str">
        <f t="shared" ref="L910:N929" si="105">"0"</f>
        <v>0</v>
      </c>
      <c r="M910" t="str">
        <f t="shared" si="105"/>
        <v>0</v>
      </c>
      <c r="N910" t="str">
        <f t="shared" si="105"/>
        <v>0</v>
      </c>
    </row>
    <row r="911" spans="1:14" x14ac:dyDescent="0.3">
      <c r="A911" t="s">
        <v>17</v>
      </c>
      <c r="B911" t="s">
        <v>18</v>
      </c>
      <c r="C911" t="str">
        <f t="shared" si="103"/>
        <v>400</v>
      </c>
      <c r="D911" t="str">
        <f>"613549"</f>
        <v>613549</v>
      </c>
      <c r="E911" t="s">
        <v>19</v>
      </c>
      <c r="F911" t="s">
        <v>884</v>
      </c>
      <c r="G911">
        <v>250</v>
      </c>
      <c r="H911" t="str">
        <f>""</f>
        <v/>
      </c>
      <c r="I911">
        <v>15</v>
      </c>
      <c r="J911">
        <v>0</v>
      </c>
      <c r="K911" t="str">
        <f t="shared" si="99"/>
        <v>31000</v>
      </c>
      <c r="L911" t="str">
        <f t="shared" si="105"/>
        <v>0</v>
      </c>
      <c r="M911" t="str">
        <f t="shared" si="105"/>
        <v>0</v>
      </c>
      <c r="N911" t="str">
        <f t="shared" si="105"/>
        <v>0</v>
      </c>
    </row>
    <row r="912" spans="1:14" x14ac:dyDescent="0.3">
      <c r="A912" t="s">
        <v>17</v>
      </c>
      <c r="B912" t="s">
        <v>18</v>
      </c>
      <c r="C912" t="str">
        <f t="shared" si="103"/>
        <v>400</v>
      </c>
      <c r="D912" t="str">
        <f>"613570"</f>
        <v>613570</v>
      </c>
      <c r="E912" t="s">
        <v>19</v>
      </c>
      <c r="F912" t="s">
        <v>885</v>
      </c>
      <c r="G912">
        <v>250</v>
      </c>
      <c r="H912" t="str">
        <f>""</f>
        <v/>
      </c>
      <c r="I912">
        <v>12</v>
      </c>
      <c r="J912">
        <v>0</v>
      </c>
      <c r="K912" t="str">
        <f t="shared" si="99"/>
        <v>31000</v>
      </c>
      <c r="L912" t="str">
        <f t="shared" si="105"/>
        <v>0</v>
      </c>
      <c r="M912" t="str">
        <f t="shared" si="105"/>
        <v>0</v>
      </c>
      <c r="N912" t="str">
        <f t="shared" si="105"/>
        <v>0</v>
      </c>
    </row>
    <row r="913" spans="1:14" x14ac:dyDescent="0.3">
      <c r="A913" t="s">
        <v>17</v>
      </c>
      <c r="B913" t="s">
        <v>18</v>
      </c>
      <c r="C913" t="str">
        <f t="shared" si="103"/>
        <v>400</v>
      </c>
      <c r="D913" t="str">
        <f>"613587"</f>
        <v>613587</v>
      </c>
      <c r="E913" t="s">
        <v>19</v>
      </c>
      <c r="F913" t="s">
        <v>886</v>
      </c>
      <c r="G913">
        <v>250</v>
      </c>
      <c r="H913" t="str">
        <f>""</f>
        <v/>
      </c>
      <c r="I913">
        <v>64.47</v>
      </c>
      <c r="J913">
        <v>0</v>
      </c>
      <c r="K913" t="str">
        <f t="shared" si="99"/>
        <v>31000</v>
      </c>
      <c r="L913" t="str">
        <f t="shared" si="105"/>
        <v>0</v>
      </c>
      <c r="M913" t="str">
        <f t="shared" si="105"/>
        <v>0</v>
      </c>
      <c r="N913" t="str">
        <f t="shared" si="105"/>
        <v>0</v>
      </c>
    </row>
    <row r="914" spans="1:14" x14ac:dyDescent="0.3">
      <c r="A914" t="s">
        <v>17</v>
      </c>
      <c r="B914" t="s">
        <v>18</v>
      </c>
      <c r="C914" t="str">
        <f t="shared" si="103"/>
        <v>400</v>
      </c>
      <c r="D914" t="str">
        <f>"613600"</f>
        <v>613600</v>
      </c>
      <c r="E914" t="s">
        <v>19</v>
      </c>
      <c r="F914" t="s">
        <v>887</v>
      </c>
      <c r="G914">
        <v>250</v>
      </c>
      <c r="H914" t="str">
        <f>""</f>
        <v/>
      </c>
      <c r="I914">
        <v>6.6</v>
      </c>
      <c r="J914">
        <v>0</v>
      </c>
      <c r="K914" t="str">
        <f t="shared" si="99"/>
        <v>31000</v>
      </c>
      <c r="L914" t="str">
        <f t="shared" si="105"/>
        <v>0</v>
      </c>
      <c r="M914" t="str">
        <f t="shared" si="105"/>
        <v>0</v>
      </c>
      <c r="N914" t="str">
        <f t="shared" si="105"/>
        <v>0</v>
      </c>
    </row>
    <row r="915" spans="1:14" x14ac:dyDescent="0.3">
      <c r="A915" t="s">
        <v>17</v>
      </c>
      <c r="B915" t="s">
        <v>18</v>
      </c>
      <c r="C915" t="str">
        <f t="shared" si="103"/>
        <v>400</v>
      </c>
      <c r="D915" t="str">
        <f>"613601"</f>
        <v>613601</v>
      </c>
      <c r="E915" t="s">
        <v>19</v>
      </c>
      <c r="F915" t="s">
        <v>888</v>
      </c>
      <c r="G915">
        <v>250</v>
      </c>
      <c r="H915" t="str">
        <f>""</f>
        <v/>
      </c>
      <c r="I915">
        <v>4.5</v>
      </c>
      <c r="J915">
        <v>0</v>
      </c>
      <c r="K915" t="str">
        <f t="shared" si="99"/>
        <v>31000</v>
      </c>
      <c r="L915" t="str">
        <f t="shared" si="105"/>
        <v>0</v>
      </c>
      <c r="M915" t="str">
        <f t="shared" si="105"/>
        <v>0</v>
      </c>
      <c r="N915" t="str">
        <f t="shared" si="105"/>
        <v>0</v>
      </c>
    </row>
    <row r="916" spans="1:14" x14ac:dyDescent="0.3">
      <c r="A916" t="s">
        <v>17</v>
      </c>
      <c r="B916" t="s">
        <v>18</v>
      </c>
      <c r="C916" t="str">
        <f t="shared" si="103"/>
        <v>400</v>
      </c>
      <c r="D916" t="str">
        <f>"613605"</f>
        <v>613605</v>
      </c>
      <c r="E916" t="s">
        <v>19</v>
      </c>
      <c r="F916" t="s">
        <v>889</v>
      </c>
      <c r="G916">
        <v>250</v>
      </c>
      <c r="H916" t="str">
        <f>""</f>
        <v/>
      </c>
      <c r="I916">
        <v>134</v>
      </c>
      <c r="J916">
        <v>0</v>
      </c>
      <c r="K916" t="str">
        <f t="shared" si="99"/>
        <v>31000</v>
      </c>
      <c r="L916" t="str">
        <f t="shared" si="105"/>
        <v>0</v>
      </c>
      <c r="M916" t="str">
        <f t="shared" si="105"/>
        <v>0</v>
      </c>
      <c r="N916" t="str">
        <f t="shared" si="105"/>
        <v>0</v>
      </c>
    </row>
    <row r="917" spans="1:14" x14ac:dyDescent="0.3">
      <c r="A917" t="s">
        <v>17</v>
      </c>
      <c r="B917" t="s">
        <v>18</v>
      </c>
      <c r="C917" t="str">
        <f t="shared" si="103"/>
        <v>400</v>
      </c>
      <c r="D917" t="str">
        <f>"613694"</f>
        <v>613694</v>
      </c>
      <c r="E917" t="s">
        <v>19</v>
      </c>
      <c r="F917" t="s">
        <v>890</v>
      </c>
      <c r="G917">
        <v>250</v>
      </c>
      <c r="H917" t="str">
        <f>""</f>
        <v/>
      </c>
      <c r="I917">
        <v>10.25</v>
      </c>
      <c r="J917">
        <v>0</v>
      </c>
      <c r="K917" t="str">
        <f t="shared" si="99"/>
        <v>31000</v>
      </c>
      <c r="L917" t="str">
        <f t="shared" si="105"/>
        <v>0</v>
      </c>
      <c r="M917" t="str">
        <f t="shared" si="105"/>
        <v>0</v>
      </c>
      <c r="N917" t="str">
        <f t="shared" si="105"/>
        <v>0</v>
      </c>
    </row>
    <row r="918" spans="1:14" x14ac:dyDescent="0.3">
      <c r="A918" t="s">
        <v>17</v>
      </c>
      <c r="B918" t="s">
        <v>18</v>
      </c>
      <c r="C918" t="str">
        <f t="shared" si="103"/>
        <v>400</v>
      </c>
      <c r="D918" t="str">
        <f>"613729"</f>
        <v>613729</v>
      </c>
      <c r="E918" t="s">
        <v>19</v>
      </c>
      <c r="F918" t="s">
        <v>891</v>
      </c>
      <c r="G918">
        <v>250</v>
      </c>
      <c r="H918" t="str">
        <f>""</f>
        <v/>
      </c>
      <c r="I918">
        <v>56</v>
      </c>
      <c r="J918">
        <v>0</v>
      </c>
      <c r="K918" t="str">
        <f t="shared" si="99"/>
        <v>31000</v>
      </c>
      <c r="L918" t="str">
        <f t="shared" si="105"/>
        <v>0</v>
      </c>
      <c r="M918" t="str">
        <f t="shared" si="105"/>
        <v>0</v>
      </c>
      <c r="N918" t="str">
        <f t="shared" si="105"/>
        <v>0</v>
      </c>
    </row>
    <row r="919" spans="1:14" x14ac:dyDescent="0.3">
      <c r="A919" t="s">
        <v>17</v>
      </c>
      <c r="B919" t="s">
        <v>18</v>
      </c>
      <c r="C919" t="str">
        <f t="shared" si="103"/>
        <v>400</v>
      </c>
      <c r="D919" t="str">
        <f>"613777"</f>
        <v>613777</v>
      </c>
      <c r="E919" t="s">
        <v>19</v>
      </c>
      <c r="F919" t="s">
        <v>892</v>
      </c>
      <c r="G919">
        <v>250</v>
      </c>
      <c r="H919" t="str">
        <f>""</f>
        <v/>
      </c>
      <c r="I919">
        <v>39.78</v>
      </c>
      <c r="J919">
        <v>0</v>
      </c>
      <c r="K919" t="str">
        <f t="shared" si="99"/>
        <v>31000</v>
      </c>
      <c r="L919" t="str">
        <f t="shared" si="105"/>
        <v>0</v>
      </c>
      <c r="M919" t="str">
        <f t="shared" si="105"/>
        <v>0</v>
      </c>
      <c r="N919" t="str">
        <f t="shared" si="105"/>
        <v>0</v>
      </c>
    </row>
    <row r="920" spans="1:14" x14ac:dyDescent="0.3">
      <c r="A920" t="s">
        <v>17</v>
      </c>
      <c r="B920" t="s">
        <v>18</v>
      </c>
      <c r="C920" t="str">
        <f t="shared" si="103"/>
        <v>400</v>
      </c>
      <c r="D920" t="str">
        <f>"613800"</f>
        <v>613800</v>
      </c>
      <c r="E920" t="s">
        <v>19</v>
      </c>
      <c r="F920" t="s">
        <v>893</v>
      </c>
      <c r="G920">
        <v>250</v>
      </c>
      <c r="H920" t="str">
        <f>""</f>
        <v/>
      </c>
      <c r="I920">
        <v>5.8</v>
      </c>
      <c r="J920">
        <v>0</v>
      </c>
      <c r="K920" t="str">
        <f t="shared" si="99"/>
        <v>31000</v>
      </c>
      <c r="L920" t="str">
        <f t="shared" si="105"/>
        <v>0</v>
      </c>
      <c r="M920" t="str">
        <f t="shared" si="105"/>
        <v>0</v>
      </c>
      <c r="N920" t="str">
        <f t="shared" si="105"/>
        <v>0</v>
      </c>
    </row>
    <row r="921" spans="1:14" x14ac:dyDescent="0.3">
      <c r="A921" t="s">
        <v>17</v>
      </c>
      <c r="B921" t="s">
        <v>18</v>
      </c>
      <c r="C921" t="str">
        <f t="shared" si="103"/>
        <v>400</v>
      </c>
      <c r="D921" t="str">
        <f>"613801"</f>
        <v>613801</v>
      </c>
      <c r="E921" t="s">
        <v>19</v>
      </c>
      <c r="F921" t="s">
        <v>894</v>
      </c>
      <c r="G921">
        <v>250</v>
      </c>
      <c r="H921" t="str">
        <f>""</f>
        <v/>
      </c>
      <c r="I921">
        <v>10.5</v>
      </c>
      <c r="J921">
        <v>0</v>
      </c>
      <c r="K921" t="str">
        <f t="shared" si="99"/>
        <v>31000</v>
      </c>
      <c r="L921" t="str">
        <f t="shared" si="105"/>
        <v>0</v>
      </c>
      <c r="M921" t="str">
        <f t="shared" si="105"/>
        <v>0</v>
      </c>
      <c r="N921" t="str">
        <f t="shared" si="105"/>
        <v>0</v>
      </c>
    </row>
    <row r="922" spans="1:14" x14ac:dyDescent="0.3">
      <c r="A922" t="s">
        <v>17</v>
      </c>
      <c r="B922" t="s">
        <v>18</v>
      </c>
      <c r="C922" t="str">
        <f t="shared" si="103"/>
        <v>400</v>
      </c>
      <c r="D922" t="str">
        <f>"613802"</f>
        <v>613802</v>
      </c>
      <c r="E922" t="s">
        <v>19</v>
      </c>
      <c r="F922" t="s">
        <v>895</v>
      </c>
      <c r="G922">
        <v>250</v>
      </c>
      <c r="H922" t="str">
        <f>""</f>
        <v/>
      </c>
      <c r="I922">
        <v>4.5</v>
      </c>
      <c r="J922">
        <v>0</v>
      </c>
      <c r="K922" t="str">
        <f t="shared" si="99"/>
        <v>31000</v>
      </c>
      <c r="L922" t="str">
        <f t="shared" si="105"/>
        <v>0</v>
      </c>
      <c r="M922" t="str">
        <f t="shared" si="105"/>
        <v>0</v>
      </c>
      <c r="N922" t="str">
        <f t="shared" si="105"/>
        <v>0</v>
      </c>
    </row>
    <row r="923" spans="1:14" x14ac:dyDescent="0.3">
      <c r="A923" t="s">
        <v>17</v>
      </c>
      <c r="B923" t="s">
        <v>18</v>
      </c>
      <c r="C923" t="str">
        <f t="shared" si="103"/>
        <v>400</v>
      </c>
      <c r="D923" t="str">
        <f>"613804"</f>
        <v>613804</v>
      </c>
      <c r="E923" t="s">
        <v>19</v>
      </c>
      <c r="F923" t="s">
        <v>896</v>
      </c>
      <c r="G923">
        <v>250</v>
      </c>
      <c r="H923" t="str">
        <f>""</f>
        <v/>
      </c>
      <c r="I923">
        <v>7</v>
      </c>
      <c r="J923">
        <v>0</v>
      </c>
      <c r="K923" t="str">
        <f t="shared" si="99"/>
        <v>31000</v>
      </c>
      <c r="L923" t="str">
        <f t="shared" si="105"/>
        <v>0</v>
      </c>
      <c r="M923" t="str">
        <f t="shared" si="105"/>
        <v>0</v>
      </c>
      <c r="N923" t="str">
        <f t="shared" si="105"/>
        <v>0</v>
      </c>
    </row>
    <row r="924" spans="1:14" x14ac:dyDescent="0.3">
      <c r="A924" t="s">
        <v>17</v>
      </c>
      <c r="B924" t="s">
        <v>18</v>
      </c>
      <c r="C924" t="str">
        <f t="shared" si="103"/>
        <v>400</v>
      </c>
      <c r="D924" t="str">
        <f>"613805"</f>
        <v>613805</v>
      </c>
      <c r="E924" t="s">
        <v>19</v>
      </c>
      <c r="F924" t="s">
        <v>897</v>
      </c>
      <c r="G924">
        <v>250</v>
      </c>
      <c r="H924" t="str">
        <f>""</f>
        <v/>
      </c>
      <c r="I924">
        <v>4.5</v>
      </c>
      <c r="J924">
        <v>0</v>
      </c>
      <c r="K924" t="str">
        <f t="shared" si="99"/>
        <v>31000</v>
      </c>
      <c r="L924" t="str">
        <f t="shared" si="105"/>
        <v>0</v>
      </c>
      <c r="M924" t="str">
        <f t="shared" si="105"/>
        <v>0</v>
      </c>
      <c r="N924" t="str">
        <f t="shared" si="105"/>
        <v>0</v>
      </c>
    </row>
    <row r="925" spans="1:14" x14ac:dyDescent="0.3">
      <c r="A925" t="s">
        <v>17</v>
      </c>
      <c r="B925" t="s">
        <v>18</v>
      </c>
      <c r="C925" t="str">
        <f t="shared" si="103"/>
        <v>400</v>
      </c>
      <c r="D925" t="str">
        <f>"613806"</f>
        <v>613806</v>
      </c>
      <c r="E925" t="s">
        <v>19</v>
      </c>
      <c r="F925" t="s">
        <v>898</v>
      </c>
      <c r="G925">
        <v>250</v>
      </c>
      <c r="H925" t="str">
        <f>""</f>
        <v/>
      </c>
      <c r="I925">
        <v>19.95</v>
      </c>
      <c r="J925">
        <v>0</v>
      </c>
      <c r="K925" t="str">
        <f t="shared" si="99"/>
        <v>31000</v>
      </c>
      <c r="L925" t="str">
        <f t="shared" si="105"/>
        <v>0</v>
      </c>
      <c r="M925" t="str">
        <f t="shared" si="105"/>
        <v>0</v>
      </c>
      <c r="N925" t="str">
        <f t="shared" si="105"/>
        <v>0</v>
      </c>
    </row>
    <row r="926" spans="1:14" x14ac:dyDescent="0.3">
      <c r="A926" t="s">
        <v>17</v>
      </c>
      <c r="B926" t="s">
        <v>18</v>
      </c>
      <c r="C926" t="str">
        <f t="shared" si="103"/>
        <v>400</v>
      </c>
      <c r="D926" t="str">
        <f>"613807"</f>
        <v>613807</v>
      </c>
      <c r="E926" t="s">
        <v>19</v>
      </c>
      <c r="F926" t="s">
        <v>899</v>
      </c>
      <c r="G926">
        <v>250</v>
      </c>
      <c r="H926" t="str">
        <f>""</f>
        <v/>
      </c>
      <c r="I926">
        <v>53.02</v>
      </c>
      <c r="J926">
        <v>0</v>
      </c>
      <c r="K926" t="str">
        <f t="shared" si="99"/>
        <v>31000</v>
      </c>
      <c r="L926" t="str">
        <f t="shared" si="105"/>
        <v>0</v>
      </c>
      <c r="M926" t="str">
        <f t="shared" si="105"/>
        <v>0</v>
      </c>
      <c r="N926" t="str">
        <f t="shared" si="105"/>
        <v>0</v>
      </c>
    </row>
    <row r="927" spans="1:14" x14ac:dyDescent="0.3">
      <c r="A927" t="s">
        <v>17</v>
      </c>
      <c r="B927" t="s">
        <v>18</v>
      </c>
      <c r="C927" t="str">
        <f t="shared" si="103"/>
        <v>400</v>
      </c>
      <c r="D927" t="str">
        <f>"613809"</f>
        <v>613809</v>
      </c>
      <c r="E927" t="s">
        <v>19</v>
      </c>
      <c r="F927" t="s">
        <v>900</v>
      </c>
      <c r="G927">
        <v>250</v>
      </c>
      <c r="H927" t="str">
        <f>""</f>
        <v/>
      </c>
      <c r="I927">
        <v>27</v>
      </c>
      <c r="J927">
        <v>0</v>
      </c>
      <c r="K927" t="str">
        <f t="shared" si="99"/>
        <v>31000</v>
      </c>
      <c r="L927" t="str">
        <f t="shared" si="105"/>
        <v>0</v>
      </c>
      <c r="M927" t="str">
        <f t="shared" si="105"/>
        <v>0</v>
      </c>
      <c r="N927" t="str">
        <f t="shared" si="105"/>
        <v>0</v>
      </c>
    </row>
    <row r="928" spans="1:14" x14ac:dyDescent="0.3">
      <c r="A928" t="s">
        <v>17</v>
      </c>
      <c r="B928" t="s">
        <v>18</v>
      </c>
      <c r="C928" t="str">
        <f t="shared" si="103"/>
        <v>400</v>
      </c>
      <c r="D928" t="str">
        <f>"613810"</f>
        <v>613810</v>
      </c>
      <c r="E928" t="s">
        <v>19</v>
      </c>
      <c r="F928" t="s">
        <v>901</v>
      </c>
      <c r="G928">
        <v>250</v>
      </c>
      <c r="I928">
        <v>12.5</v>
      </c>
      <c r="J928">
        <v>0</v>
      </c>
      <c r="K928" t="str">
        <f t="shared" si="99"/>
        <v>31000</v>
      </c>
      <c r="L928" t="str">
        <f t="shared" si="105"/>
        <v>0</v>
      </c>
      <c r="M928" t="str">
        <f t="shared" si="105"/>
        <v>0</v>
      </c>
      <c r="N928" t="str">
        <f t="shared" si="105"/>
        <v>0</v>
      </c>
    </row>
    <row r="929" spans="1:14" x14ac:dyDescent="0.3">
      <c r="A929" t="s">
        <v>17</v>
      </c>
      <c r="B929" t="s">
        <v>18</v>
      </c>
      <c r="C929" t="str">
        <f t="shared" si="103"/>
        <v>400</v>
      </c>
      <c r="D929" t="str">
        <f>"613813"</f>
        <v>613813</v>
      </c>
      <c r="E929" t="s">
        <v>19</v>
      </c>
      <c r="F929" t="s">
        <v>902</v>
      </c>
      <c r="G929">
        <v>250</v>
      </c>
      <c r="H929" t="str">
        <f>""</f>
        <v/>
      </c>
      <c r="I929">
        <v>12.5</v>
      </c>
      <c r="J929">
        <v>0</v>
      </c>
      <c r="K929" t="str">
        <f t="shared" si="99"/>
        <v>31000</v>
      </c>
      <c r="L929" t="str">
        <f t="shared" si="105"/>
        <v>0</v>
      </c>
      <c r="M929" t="str">
        <f t="shared" si="105"/>
        <v>0</v>
      </c>
      <c r="N929" t="str">
        <f t="shared" si="105"/>
        <v>0</v>
      </c>
    </row>
    <row r="930" spans="1:14" x14ac:dyDescent="0.3">
      <c r="A930" t="s">
        <v>17</v>
      </c>
      <c r="B930" t="s">
        <v>18</v>
      </c>
      <c r="C930" t="str">
        <f t="shared" si="103"/>
        <v>400</v>
      </c>
      <c r="D930" t="str">
        <f>"613815"</f>
        <v>613815</v>
      </c>
      <c r="E930" t="s">
        <v>19</v>
      </c>
      <c r="F930" t="s">
        <v>903</v>
      </c>
      <c r="G930">
        <v>250</v>
      </c>
      <c r="H930" t="str">
        <f>""</f>
        <v/>
      </c>
      <c r="I930">
        <v>44</v>
      </c>
      <c r="J930">
        <v>0</v>
      </c>
      <c r="K930" t="str">
        <f t="shared" si="99"/>
        <v>31000</v>
      </c>
      <c r="L930" t="str">
        <f t="shared" ref="L930:N949" si="106">"0"</f>
        <v>0</v>
      </c>
      <c r="M930" t="str">
        <f t="shared" si="106"/>
        <v>0</v>
      </c>
      <c r="N930" t="str">
        <f t="shared" si="106"/>
        <v>0</v>
      </c>
    </row>
    <row r="931" spans="1:14" x14ac:dyDescent="0.3">
      <c r="A931" t="s">
        <v>17</v>
      </c>
      <c r="B931" t="s">
        <v>18</v>
      </c>
      <c r="C931" t="str">
        <f t="shared" si="103"/>
        <v>400</v>
      </c>
      <c r="D931" t="str">
        <f>"613816"</f>
        <v>613816</v>
      </c>
      <c r="E931" t="s">
        <v>19</v>
      </c>
      <c r="F931" t="s">
        <v>904</v>
      </c>
      <c r="G931">
        <v>250</v>
      </c>
      <c r="H931" t="str">
        <f>""</f>
        <v/>
      </c>
      <c r="I931">
        <v>4.5</v>
      </c>
      <c r="J931">
        <v>0</v>
      </c>
      <c r="K931" t="str">
        <f t="shared" si="99"/>
        <v>31000</v>
      </c>
      <c r="L931" t="str">
        <f t="shared" si="106"/>
        <v>0</v>
      </c>
      <c r="M931" t="str">
        <f t="shared" si="106"/>
        <v>0</v>
      </c>
      <c r="N931" t="str">
        <f t="shared" si="106"/>
        <v>0</v>
      </c>
    </row>
    <row r="932" spans="1:14" x14ac:dyDescent="0.3">
      <c r="A932" t="s">
        <v>17</v>
      </c>
      <c r="B932" t="s">
        <v>18</v>
      </c>
      <c r="C932" t="str">
        <f t="shared" si="103"/>
        <v>400</v>
      </c>
      <c r="D932" t="str">
        <f>"613817"</f>
        <v>613817</v>
      </c>
      <c r="E932" t="s">
        <v>19</v>
      </c>
      <c r="F932" t="s">
        <v>905</v>
      </c>
      <c r="G932">
        <v>250</v>
      </c>
      <c r="H932" t="str">
        <f>""</f>
        <v/>
      </c>
      <c r="I932">
        <v>4.5</v>
      </c>
      <c r="J932">
        <v>0</v>
      </c>
      <c r="K932" t="str">
        <f t="shared" si="99"/>
        <v>31000</v>
      </c>
      <c r="L932" t="str">
        <f t="shared" si="106"/>
        <v>0</v>
      </c>
      <c r="M932" t="str">
        <f t="shared" si="106"/>
        <v>0</v>
      </c>
      <c r="N932" t="str">
        <f t="shared" si="106"/>
        <v>0</v>
      </c>
    </row>
    <row r="933" spans="1:14" x14ac:dyDescent="0.3">
      <c r="A933" t="s">
        <v>17</v>
      </c>
      <c r="B933" t="s">
        <v>18</v>
      </c>
      <c r="C933" t="str">
        <f t="shared" si="103"/>
        <v>400</v>
      </c>
      <c r="D933" t="str">
        <f>"613818"</f>
        <v>613818</v>
      </c>
      <c r="E933" t="s">
        <v>19</v>
      </c>
      <c r="F933" t="s">
        <v>906</v>
      </c>
      <c r="G933">
        <v>250</v>
      </c>
      <c r="H933" t="str">
        <f>""</f>
        <v/>
      </c>
      <c r="I933">
        <v>353.1</v>
      </c>
      <c r="J933">
        <v>0</v>
      </c>
      <c r="K933" t="str">
        <f t="shared" si="99"/>
        <v>31000</v>
      </c>
      <c r="L933" t="str">
        <f t="shared" si="106"/>
        <v>0</v>
      </c>
      <c r="M933" t="str">
        <f t="shared" si="106"/>
        <v>0</v>
      </c>
      <c r="N933" t="str">
        <f t="shared" si="106"/>
        <v>0</v>
      </c>
    </row>
    <row r="934" spans="1:14" x14ac:dyDescent="0.3">
      <c r="A934" t="s">
        <v>17</v>
      </c>
      <c r="B934" t="s">
        <v>18</v>
      </c>
      <c r="C934" t="str">
        <f t="shared" si="103"/>
        <v>400</v>
      </c>
      <c r="D934" t="str">
        <f>"613820"</f>
        <v>613820</v>
      </c>
      <c r="E934" t="s">
        <v>19</v>
      </c>
      <c r="F934" t="s">
        <v>907</v>
      </c>
      <c r="G934">
        <v>250</v>
      </c>
      <c r="H934" t="str">
        <f>""</f>
        <v/>
      </c>
      <c r="I934">
        <v>39.950000000000003</v>
      </c>
      <c r="J934">
        <v>0</v>
      </c>
      <c r="K934" t="str">
        <f t="shared" si="99"/>
        <v>31000</v>
      </c>
      <c r="L934" t="str">
        <f t="shared" si="106"/>
        <v>0</v>
      </c>
      <c r="M934" t="str">
        <f t="shared" si="106"/>
        <v>0</v>
      </c>
      <c r="N934" t="str">
        <f t="shared" si="106"/>
        <v>0</v>
      </c>
    </row>
    <row r="935" spans="1:14" x14ac:dyDescent="0.3">
      <c r="A935" t="s">
        <v>17</v>
      </c>
      <c r="B935" t="s">
        <v>18</v>
      </c>
      <c r="C935" t="str">
        <f t="shared" si="103"/>
        <v>400</v>
      </c>
      <c r="D935" t="str">
        <f>"613822"</f>
        <v>613822</v>
      </c>
      <c r="E935" t="s">
        <v>19</v>
      </c>
      <c r="F935" t="s">
        <v>908</v>
      </c>
      <c r="G935">
        <v>250</v>
      </c>
      <c r="H935" t="str">
        <f>""</f>
        <v/>
      </c>
      <c r="I935">
        <v>5.4</v>
      </c>
      <c r="J935">
        <v>0</v>
      </c>
      <c r="K935" t="str">
        <f t="shared" si="99"/>
        <v>31000</v>
      </c>
      <c r="L935" t="str">
        <f t="shared" si="106"/>
        <v>0</v>
      </c>
      <c r="M935" t="str">
        <f t="shared" si="106"/>
        <v>0</v>
      </c>
      <c r="N935" t="str">
        <f t="shared" si="106"/>
        <v>0</v>
      </c>
    </row>
    <row r="936" spans="1:14" x14ac:dyDescent="0.3">
      <c r="A936" t="s">
        <v>17</v>
      </c>
      <c r="B936" t="s">
        <v>18</v>
      </c>
      <c r="C936" t="str">
        <f t="shared" si="103"/>
        <v>400</v>
      </c>
      <c r="D936" t="str">
        <f>"613834"</f>
        <v>613834</v>
      </c>
      <c r="E936" t="s">
        <v>19</v>
      </c>
      <c r="F936" t="s">
        <v>909</v>
      </c>
      <c r="G936">
        <v>250</v>
      </c>
      <c r="H936" t="str">
        <f>""</f>
        <v/>
      </c>
      <c r="I936">
        <v>5.5</v>
      </c>
      <c r="J936">
        <v>0</v>
      </c>
      <c r="K936" t="str">
        <f t="shared" si="99"/>
        <v>31000</v>
      </c>
      <c r="L936" t="str">
        <f t="shared" si="106"/>
        <v>0</v>
      </c>
      <c r="M936" t="str">
        <f t="shared" si="106"/>
        <v>0</v>
      </c>
      <c r="N936" t="str">
        <f t="shared" si="106"/>
        <v>0</v>
      </c>
    </row>
    <row r="937" spans="1:14" x14ac:dyDescent="0.3">
      <c r="A937" t="s">
        <v>17</v>
      </c>
      <c r="B937" t="s">
        <v>18</v>
      </c>
      <c r="C937" t="str">
        <f t="shared" si="103"/>
        <v>400</v>
      </c>
      <c r="D937" t="str">
        <f>"613837"</f>
        <v>613837</v>
      </c>
      <c r="E937" t="s">
        <v>19</v>
      </c>
      <c r="F937" t="s">
        <v>910</v>
      </c>
      <c r="G937">
        <v>250</v>
      </c>
      <c r="H937" t="str">
        <f>""</f>
        <v/>
      </c>
      <c r="I937">
        <v>4.5</v>
      </c>
      <c r="J937">
        <v>0</v>
      </c>
      <c r="K937" t="str">
        <f t="shared" si="99"/>
        <v>31000</v>
      </c>
      <c r="L937" t="str">
        <f t="shared" si="106"/>
        <v>0</v>
      </c>
      <c r="M937" t="str">
        <f t="shared" si="106"/>
        <v>0</v>
      </c>
      <c r="N937" t="str">
        <f t="shared" si="106"/>
        <v>0</v>
      </c>
    </row>
    <row r="938" spans="1:14" x14ac:dyDescent="0.3">
      <c r="A938" t="s">
        <v>17</v>
      </c>
      <c r="B938" t="s">
        <v>18</v>
      </c>
      <c r="C938" t="str">
        <f t="shared" si="103"/>
        <v>400</v>
      </c>
      <c r="D938" t="str">
        <f>"613838"</f>
        <v>613838</v>
      </c>
      <c r="E938" t="s">
        <v>19</v>
      </c>
      <c r="F938" t="s">
        <v>911</v>
      </c>
      <c r="G938">
        <v>250</v>
      </c>
      <c r="H938" t="str">
        <f>""</f>
        <v/>
      </c>
      <c r="I938">
        <v>4.5</v>
      </c>
      <c r="J938">
        <v>0</v>
      </c>
      <c r="K938" t="str">
        <f t="shared" si="99"/>
        <v>31000</v>
      </c>
      <c r="L938" t="str">
        <f t="shared" si="106"/>
        <v>0</v>
      </c>
      <c r="M938" t="str">
        <f t="shared" si="106"/>
        <v>0</v>
      </c>
      <c r="N938" t="str">
        <f t="shared" si="106"/>
        <v>0</v>
      </c>
    </row>
    <row r="939" spans="1:14" x14ac:dyDescent="0.3">
      <c r="A939" t="s">
        <v>17</v>
      </c>
      <c r="B939" t="s">
        <v>18</v>
      </c>
      <c r="C939" t="str">
        <f t="shared" si="103"/>
        <v>400</v>
      </c>
      <c r="D939" t="str">
        <f>"613840"</f>
        <v>613840</v>
      </c>
      <c r="E939" t="s">
        <v>19</v>
      </c>
      <c r="F939" t="s">
        <v>912</v>
      </c>
      <c r="G939">
        <v>250</v>
      </c>
      <c r="H939" t="str">
        <f>""</f>
        <v/>
      </c>
      <c r="I939">
        <v>2.5</v>
      </c>
      <c r="J939">
        <v>0</v>
      </c>
      <c r="K939" t="str">
        <f t="shared" ref="K939:K1002" si="107">"31000"</f>
        <v>31000</v>
      </c>
      <c r="L939" t="str">
        <f t="shared" si="106"/>
        <v>0</v>
      </c>
      <c r="M939" t="str">
        <f t="shared" si="106"/>
        <v>0</v>
      </c>
      <c r="N939" t="str">
        <f t="shared" si="106"/>
        <v>0</v>
      </c>
    </row>
    <row r="940" spans="1:14" x14ac:dyDescent="0.3">
      <c r="A940" t="s">
        <v>17</v>
      </c>
      <c r="B940" t="s">
        <v>18</v>
      </c>
      <c r="C940" t="str">
        <f t="shared" si="103"/>
        <v>400</v>
      </c>
      <c r="D940" t="str">
        <f>"613841"</f>
        <v>613841</v>
      </c>
      <c r="E940" t="s">
        <v>19</v>
      </c>
      <c r="F940" t="s">
        <v>913</v>
      </c>
      <c r="G940">
        <v>250</v>
      </c>
      <c r="H940" t="str">
        <f>""</f>
        <v/>
      </c>
      <c r="I940">
        <v>10.95</v>
      </c>
      <c r="J940">
        <v>0</v>
      </c>
      <c r="K940" t="str">
        <f t="shared" si="107"/>
        <v>31000</v>
      </c>
      <c r="L940" t="str">
        <f t="shared" si="106"/>
        <v>0</v>
      </c>
      <c r="M940" t="str">
        <f t="shared" si="106"/>
        <v>0</v>
      </c>
      <c r="N940" t="str">
        <f t="shared" si="106"/>
        <v>0</v>
      </c>
    </row>
    <row r="941" spans="1:14" x14ac:dyDescent="0.3">
      <c r="A941" t="s">
        <v>17</v>
      </c>
      <c r="B941" t="s">
        <v>18</v>
      </c>
      <c r="C941" t="str">
        <f t="shared" si="103"/>
        <v>400</v>
      </c>
      <c r="D941" t="str">
        <f>"613842"</f>
        <v>613842</v>
      </c>
      <c r="E941" t="s">
        <v>19</v>
      </c>
      <c r="F941" t="s">
        <v>914</v>
      </c>
      <c r="G941">
        <v>250</v>
      </c>
      <c r="H941" t="str">
        <f>""</f>
        <v/>
      </c>
      <c r="I941">
        <v>27.75</v>
      </c>
      <c r="J941">
        <v>0</v>
      </c>
      <c r="K941" t="str">
        <f t="shared" si="107"/>
        <v>31000</v>
      </c>
      <c r="L941" t="str">
        <f t="shared" si="106"/>
        <v>0</v>
      </c>
      <c r="M941" t="str">
        <f t="shared" si="106"/>
        <v>0</v>
      </c>
      <c r="N941" t="str">
        <f t="shared" si="106"/>
        <v>0</v>
      </c>
    </row>
    <row r="942" spans="1:14" x14ac:dyDescent="0.3">
      <c r="A942" t="s">
        <v>17</v>
      </c>
      <c r="B942" t="s">
        <v>18</v>
      </c>
      <c r="C942" t="str">
        <f t="shared" si="103"/>
        <v>400</v>
      </c>
      <c r="D942" t="str">
        <f>"613844"</f>
        <v>613844</v>
      </c>
      <c r="E942" t="s">
        <v>19</v>
      </c>
      <c r="F942" t="s">
        <v>915</v>
      </c>
      <c r="G942">
        <v>250</v>
      </c>
      <c r="H942" t="str">
        <f>""</f>
        <v/>
      </c>
      <c r="I942">
        <v>6.98</v>
      </c>
      <c r="J942">
        <v>0</v>
      </c>
      <c r="K942" t="str">
        <f t="shared" si="107"/>
        <v>31000</v>
      </c>
      <c r="L942" t="str">
        <f t="shared" si="106"/>
        <v>0</v>
      </c>
      <c r="M942" t="str">
        <f t="shared" si="106"/>
        <v>0</v>
      </c>
      <c r="N942" t="str">
        <f t="shared" si="106"/>
        <v>0</v>
      </c>
    </row>
    <row r="943" spans="1:14" x14ac:dyDescent="0.3">
      <c r="A943" t="s">
        <v>17</v>
      </c>
      <c r="B943" t="s">
        <v>18</v>
      </c>
      <c r="C943" t="str">
        <f t="shared" si="103"/>
        <v>400</v>
      </c>
      <c r="D943" t="str">
        <f>"613845"</f>
        <v>613845</v>
      </c>
      <c r="E943" t="s">
        <v>19</v>
      </c>
      <c r="F943" t="s">
        <v>916</v>
      </c>
      <c r="G943">
        <v>250</v>
      </c>
      <c r="H943" t="str">
        <f>""</f>
        <v/>
      </c>
      <c r="I943">
        <v>2.5</v>
      </c>
      <c r="J943">
        <v>0</v>
      </c>
      <c r="K943" t="str">
        <f t="shared" si="107"/>
        <v>31000</v>
      </c>
      <c r="L943" t="str">
        <f t="shared" si="106"/>
        <v>0</v>
      </c>
      <c r="M943" t="str">
        <f t="shared" si="106"/>
        <v>0</v>
      </c>
      <c r="N943" t="str">
        <f t="shared" si="106"/>
        <v>0</v>
      </c>
    </row>
    <row r="944" spans="1:14" x14ac:dyDescent="0.3">
      <c r="A944" t="s">
        <v>17</v>
      </c>
      <c r="B944" t="s">
        <v>18</v>
      </c>
      <c r="C944" t="str">
        <f t="shared" si="103"/>
        <v>400</v>
      </c>
      <c r="D944" t="str">
        <f>"613849"</f>
        <v>613849</v>
      </c>
      <c r="E944" t="s">
        <v>19</v>
      </c>
      <c r="F944" t="s">
        <v>917</v>
      </c>
      <c r="G944">
        <v>250</v>
      </c>
      <c r="H944" t="str">
        <f>""</f>
        <v/>
      </c>
      <c r="I944">
        <v>36</v>
      </c>
      <c r="J944">
        <v>0</v>
      </c>
      <c r="K944" t="str">
        <f t="shared" si="107"/>
        <v>31000</v>
      </c>
      <c r="L944" t="str">
        <f t="shared" si="106"/>
        <v>0</v>
      </c>
      <c r="M944" t="str">
        <f t="shared" si="106"/>
        <v>0</v>
      </c>
      <c r="N944" t="str">
        <f t="shared" si="106"/>
        <v>0</v>
      </c>
    </row>
    <row r="945" spans="1:14" x14ac:dyDescent="0.3">
      <c r="A945" t="s">
        <v>17</v>
      </c>
      <c r="B945" t="s">
        <v>18</v>
      </c>
      <c r="C945" t="str">
        <f t="shared" si="103"/>
        <v>400</v>
      </c>
      <c r="D945" t="str">
        <f>"613850"</f>
        <v>613850</v>
      </c>
      <c r="E945" t="s">
        <v>19</v>
      </c>
      <c r="F945" t="s">
        <v>918</v>
      </c>
      <c r="G945">
        <v>250</v>
      </c>
      <c r="H945" t="str">
        <f>""</f>
        <v/>
      </c>
      <c r="I945">
        <v>4.5</v>
      </c>
      <c r="J945">
        <v>0</v>
      </c>
      <c r="K945" t="str">
        <f t="shared" si="107"/>
        <v>31000</v>
      </c>
      <c r="L945" t="str">
        <f t="shared" si="106"/>
        <v>0</v>
      </c>
      <c r="M945" t="str">
        <f t="shared" si="106"/>
        <v>0</v>
      </c>
      <c r="N945" t="str">
        <f t="shared" si="106"/>
        <v>0</v>
      </c>
    </row>
    <row r="946" spans="1:14" x14ac:dyDescent="0.3">
      <c r="A946" t="s">
        <v>17</v>
      </c>
      <c r="B946" t="s">
        <v>18</v>
      </c>
      <c r="C946" t="str">
        <f t="shared" si="103"/>
        <v>400</v>
      </c>
      <c r="D946" t="str">
        <f>"613853"</f>
        <v>613853</v>
      </c>
      <c r="E946" t="s">
        <v>19</v>
      </c>
      <c r="F946" t="s">
        <v>919</v>
      </c>
      <c r="G946">
        <v>250</v>
      </c>
      <c r="H946" t="str">
        <f>""</f>
        <v/>
      </c>
      <c r="I946">
        <v>10.75</v>
      </c>
      <c r="J946">
        <v>0</v>
      </c>
      <c r="K946" t="str">
        <f t="shared" si="107"/>
        <v>31000</v>
      </c>
      <c r="L946" t="str">
        <f t="shared" si="106"/>
        <v>0</v>
      </c>
      <c r="M946" t="str">
        <f t="shared" si="106"/>
        <v>0</v>
      </c>
      <c r="N946" t="str">
        <f t="shared" si="106"/>
        <v>0</v>
      </c>
    </row>
    <row r="947" spans="1:14" x14ac:dyDescent="0.3">
      <c r="A947" t="s">
        <v>17</v>
      </c>
      <c r="B947" t="s">
        <v>18</v>
      </c>
      <c r="C947" t="str">
        <f t="shared" si="103"/>
        <v>400</v>
      </c>
      <c r="D947" t="str">
        <f>"613855"</f>
        <v>613855</v>
      </c>
      <c r="E947" t="s">
        <v>19</v>
      </c>
      <c r="F947" t="s">
        <v>920</v>
      </c>
      <c r="G947">
        <v>250</v>
      </c>
      <c r="H947" t="str">
        <f>""</f>
        <v/>
      </c>
      <c r="I947">
        <v>20.25</v>
      </c>
      <c r="J947">
        <v>0</v>
      </c>
      <c r="K947" t="str">
        <f t="shared" si="107"/>
        <v>31000</v>
      </c>
      <c r="L947" t="str">
        <f t="shared" si="106"/>
        <v>0</v>
      </c>
      <c r="M947" t="str">
        <f t="shared" si="106"/>
        <v>0</v>
      </c>
      <c r="N947" t="str">
        <f t="shared" si="106"/>
        <v>0</v>
      </c>
    </row>
    <row r="948" spans="1:14" x14ac:dyDescent="0.3">
      <c r="A948" t="s">
        <v>17</v>
      </c>
      <c r="B948" t="s">
        <v>18</v>
      </c>
      <c r="C948" t="str">
        <f t="shared" si="103"/>
        <v>400</v>
      </c>
      <c r="D948" t="str">
        <f>"613856"</f>
        <v>613856</v>
      </c>
      <c r="E948" t="s">
        <v>19</v>
      </c>
      <c r="F948" t="s">
        <v>921</v>
      </c>
      <c r="G948">
        <v>250</v>
      </c>
      <c r="H948" t="str">
        <f>""</f>
        <v/>
      </c>
      <c r="I948">
        <v>9.5</v>
      </c>
      <c r="J948">
        <v>0</v>
      </c>
      <c r="K948" t="str">
        <f t="shared" si="107"/>
        <v>31000</v>
      </c>
      <c r="L948" t="str">
        <f t="shared" si="106"/>
        <v>0</v>
      </c>
      <c r="M948" t="str">
        <f t="shared" si="106"/>
        <v>0</v>
      </c>
      <c r="N948" t="str">
        <f t="shared" si="106"/>
        <v>0</v>
      </c>
    </row>
    <row r="949" spans="1:14" x14ac:dyDescent="0.3">
      <c r="A949" t="s">
        <v>17</v>
      </c>
      <c r="B949" t="s">
        <v>18</v>
      </c>
      <c r="C949" t="str">
        <f t="shared" si="103"/>
        <v>400</v>
      </c>
      <c r="D949" t="str">
        <f>"613859"</f>
        <v>613859</v>
      </c>
      <c r="E949" t="s">
        <v>19</v>
      </c>
      <c r="F949" t="s">
        <v>922</v>
      </c>
      <c r="G949">
        <v>250</v>
      </c>
      <c r="H949" t="str">
        <f>""</f>
        <v/>
      </c>
      <c r="I949">
        <v>10.75</v>
      </c>
      <c r="J949">
        <v>0</v>
      </c>
      <c r="K949" t="str">
        <f t="shared" si="107"/>
        <v>31000</v>
      </c>
      <c r="L949" t="str">
        <f t="shared" si="106"/>
        <v>0</v>
      </c>
      <c r="M949" t="str">
        <f t="shared" si="106"/>
        <v>0</v>
      </c>
      <c r="N949" t="str">
        <f t="shared" si="106"/>
        <v>0</v>
      </c>
    </row>
    <row r="950" spans="1:14" x14ac:dyDescent="0.3">
      <c r="A950" t="s">
        <v>17</v>
      </c>
      <c r="B950" t="s">
        <v>18</v>
      </c>
      <c r="C950" t="str">
        <f t="shared" si="103"/>
        <v>400</v>
      </c>
      <c r="D950" t="str">
        <f>"613860"</f>
        <v>613860</v>
      </c>
      <c r="E950" t="s">
        <v>19</v>
      </c>
      <c r="F950" t="s">
        <v>923</v>
      </c>
      <c r="G950">
        <v>250</v>
      </c>
      <c r="H950" t="str">
        <f>""</f>
        <v/>
      </c>
      <c r="I950">
        <v>4.5</v>
      </c>
      <c r="J950">
        <v>0</v>
      </c>
      <c r="K950" t="str">
        <f t="shared" si="107"/>
        <v>31000</v>
      </c>
      <c r="L950" t="str">
        <f t="shared" ref="L950:N969" si="108">"0"</f>
        <v>0</v>
      </c>
      <c r="M950" t="str">
        <f t="shared" si="108"/>
        <v>0</v>
      </c>
      <c r="N950" t="str">
        <f t="shared" si="108"/>
        <v>0</v>
      </c>
    </row>
    <row r="951" spans="1:14" x14ac:dyDescent="0.3">
      <c r="A951" t="s">
        <v>17</v>
      </c>
      <c r="B951" t="s">
        <v>18</v>
      </c>
      <c r="C951" t="str">
        <f t="shared" si="103"/>
        <v>400</v>
      </c>
      <c r="D951" t="str">
        <f>"613861"</f>
        <v>613861</v>
      </c>
      <c r="E951" t="s">
        <v>19</v>
      </c>
      <c r="F951" t="s">
        <v>924</v>
      </c>
      <c r="G951">
        <v>250</v>
      </c>
      <c r="H951" t="str">
        <f>""</f>
        <v/>
      </c>
      <c r="I951">
        <v>9.25</v>
      </c>
      <c r="J951">
        <v>0</v>
      </c>
      <c r="K951" t="str">
        <f t="shared" si="107"/>
        <v>31000</v>
      </c>
      <c r="L951" t="str">
        <f t="shared" si="108"/>
        <v>0</v>
      </c>
      <c r="M951" t="str">
        <f t="shared" si="108"/>
        <v>0</v>
      </c>
      <c r="N951" t="str">
        <f t="shared" si="108"/>
        <v>0</v>
      </c>
    </row>
    <row r="952" spans="1:14" x14ac:dyDescent="0.3">
      <c r="A952" t="s">
        <v>17</v>
      </c>
      <c r="B952" t="s">
        <v>18</v>
      </c>
      <c r="C952" t="str">
        <f t="shared" si="103"/>
        <v>400</v>
      </c>
      <c r="D952" t="str">
        <f>"613863"</f>
        <v>613863</v>
      </c>
      <c r="E952" t="s">
        <v>19</v>
      </c>
      <c r="F952" t="s">
        <v>925</v>
      </c>
      <c r="G952">
        <v>250</v>
      </c>
      <c r="H952" t="str">
        <f>""</f>
        <v/>
      </c>
      <c r="I952">
        <v>6.95</v>
      </c>
      <c r="J952">
        <v>0</v>
      </c>
      <c r="K952" t="str">
        <f t="shared" si="107"/>
        <v>31000</v>
      </c>
      <c r="L952" t="str">
        <f t="shared" si="108"/>
        <v>0</v>
      </c>
      <c r="M952" t="str">
        <f t="shared" si="108"/>
        <v>0</v>
      </c>
      <c r="N952" t="str">
        <f t="shared" si="108"/>
        <v>0</v>
      </c>
    </row>
    <row r="953" spans="1:14" x14ac:dyDescent="0.3">
      <c r="A953" t="s">
        <v>17</v>
      </c>
      <c r="B953" t="s">
        <v>18</v>
      </c>
      <c r="C953" t="str">
        <f t="shared" si="103"/>
        <v>400</v>
      </c>
      <c r="D953" t="str">
        <f>"613864"</f>
        <v>613864</v>
      </c>
      <c r="E953" t="s">
        <v>19</v>
      </c>
      <c r="F953" t="s">
        <v>926</v>
      </c>
      <c r="G953">
        <v>250</v>
      </c>
      <c r="H953" t="str">
        <f>""</f>
        <v/>
      </c>
      <c r="I953">
        <v>4.5</v>
      </c>
      <c r="J953">
        <v>0</v>
      </c>
      <c r="K953" t="str">
        <f t="shared" si="107"/>
        <v>31000</v>
      </c>
      <c r="L953" t="str">
        <f t="shared" si="108"/>
        <v>0</v>
      </c>
      <c r="M953" t="str">
        <f t="shared" si="108"/>
        <v>0</v>
      </c>
      <c r="N953" t="str">
        <f t="shared" si="108"/>
        <v>0</v>
      </c>
    </row>
    <row r="954" spans="1:14" x14ac:dyDescent="0.3">
      <c r="A954" t="s">
        <v>17</v>
      </c>
      <c r="B954" t="s">
        <v>18</v>
      </c>
      <c r="C954" t="str">
        <f t="shared" si="103"/>
        <v>400</v>
      </c>
      <c r="D954" t="str">
        <f>"613865"</f>
        <v>613865</v>
      </c>
      <c r="E954" t="s">
        <v>19</v>
      </c>
      <c r="F954" t="s">
        <v>927</v>
      </c>
      <c r="G954">
        <v>250</v>
      </c>
      <c r="H954" t="str">
        <f>""</f>
        <v/>
      </c>
      <c r="I954">
        <v>4.5</v>
      </c>
      <c r="J954">
        <v>0</v>
      </c>
      <c r="K954" t="str">
        <f t="shared" si="107"/>
        <v>31000</v>
      </c>
      <c r="L954" t="str">
        <f t="shared" si="108"/>
        <v>0</v>
      </c>
      <c r="M954" t="str">
        <f t="shared" si="108"/>
        <v>0</v>
      </c>
      <c r="N954" t="str">
        <f t="shared" si="108"/>
        <v>0</v>
      </c>
    </row>
    <row r="955" spans="1:14" x14ac:dyDescent="0.3">
      <c r="A955" t="s">
        <v>17</v>
      </c>
      <c r="B955" t="s">
        <v>18</v>
      </c>
      <c r="C955" t="str">
        <f t="shared" si="103"/>
        <v>400</v>
      </c>
      <c r="D955" t="str">
        <f>"613866"</f>
        <v>613866</v>
      </c>
      <c r="E955" t="s">
        <v>19</v>
      </c>
      <c r="F955" t="s">
        <v>928</v>
      </c>
      <c r="G955">
        <v>250</v>
      </c>
      <c r="H955" t="str">
        <f>""</f>
        <v/>
      </c>
      <c r="I955">
        <v>8</v>
      </c>
      <c r="J955">
        <v>0</v>
      </c>
      <c r="K955" t="str">
        <f t="shared" si="107"/>
        <v>31000</v>
      </c>
      <c r="L955" t="str">
        <f t="shared" si="108"/>
        <v>0</v>
      </c>
      <c r="M955" t="str">
        <f t="shared" si="108"/>
        <v>0</v>
      </c>
      <c r="N955" t="str">
        <f t="shared" si="108"/>
        <v>0</v>
      </c>
    </row>
    <row r="956" spans="1:14" x14ac:dyDescent="0.3">
      <c r="A956" t="s">
        <v>17</v>
      </c>
      <c r="B956" t="s">
        <v>18</v>
      </c>
      <c r="C956" t="str">
        <f t="shared" si="103"/>
        <v>400</v>
      </c>
      <c r="D956" t="str">
        <f>"613867"</f>
        <v>613867</v>
      </c>
      <c r="E956" t="s">
        <v>19</v>
      </c>
      <c r="F956" t="s">
        <v>929</v>
      </c>
      <c r="G956">
        <v>250</v>
      </c>
      <c r="H956" t="str">
        <f>""</f>
        <v/>
      </c>
      <c r="I956">
        <v>50</v>
      </c>
      <c r="J956">
        <v>0</v>
      </c>
      <c r="K956" t="str">
        <f t="shared" si="107"/>
        <v>31000</v>
      </c>
      <c r="L956" t="str">
        <f t="shared" si="108"/>
        <v>0</v>
      </c>
      <c r="M956" t="str">
        <f t="shared" si="108"/>
        <v>0</v>
      </c>
      <c r="N956" t="str">
        <f t="shared" si="108"/>
        <v>0</v>
      </c>
    </row>
    <row r="957" spans="1:14" x14ac:dyDescent="0.3">
      <c r="A957" t="s">
        <v>17</v>
      </c>
      <c r="B957" t="s">
        <v>18</v>
      </c>
      <c r="C957" t="str">
        <f t="shared" si="103"/>
        <v>400</v>
      </c>
      <c r="D957" t="str">
        <f>"613868"</f>
        <v>613868</v>
      </c>
      <c r="E957" t="s">
        <v>19</v>
      </c>
      <c r="F957" t="s">
        <v>930</v>
      </c>
      <c r="G957">
        <v>250</v>
      </c>
      <c r="H957" t="str">
        <f>""</f>
        <v/>
      </c>
      <c r="I957">
        <v>5.5</v>
      </c>
      <c r="J957">
        <v>0</v>
      </c>
      <c r="K957" t="str">
        <f t="shared" si="107"/>
        <v>31000</v>
      </c>
      <c r="L957" t="str">
        <f t="shared" si="108"/>
        <v>0</v>
      </c>
      <c r="M957" t="str">
        <f t="shared" si="108"/>
        <v>0</v>
      </c>
      <c r="N957" t="str">
        <f t="shared" si="108"/>
        <v>0</v>
      </c>
    </row>
    <row r="958" spans="1:14" x14ac:dyDescent="0.3">
      <c r="A958" t="s">
        <v>17</v>
      </c>
      <c r="B958" t="s">
        <v>18</v>
      </c>
      <c r="C958" t="str">
        <f t="shared" si="103"/>
        <v>400</v>
      </c>
      <c r="D958" t="str">
        <f>"613869"</f>
        <v>613869</v>
      </c>
      <c r="E958" t="s">
        <v>19</v>
      </c>
      <c r="F958" t="s">
        <v>931</v>
      </c>
      <c r="G958">
        <v>250</v>
      </c>
      <c r="H958" t="str">
        <f>""</f>
        <v/>
      </c>
      <c r="I958">
        <v>9.5</v>
      </c>
      <c r="J958">
        <v>0</v>
      </c>
      <c r="K958" t="str">
        <f t="shared" si="107"/>
        <v>31000</v>
      </c>
      <c r="L958" t="str">
        <f t="shared" si="108"/>
        <v>0</v>
      </c>
      <c r="M958" t="str">
        <f t="shared" si="108"/>
        <v>0</v>
      </c>
      <c r="N958" t="str">
        <f t="shared" si="108"/>
        <v>0</v>
      </c>
    </row>
    <row r="959" spans="1:14" x14ac:dyDescent="0.3">
      <c r="A959" t="s">
        <v>17</v>
      </c>
      <c r="B959" t="s">
        <v>18</v>
      </c>
      <c r="C959" t="str">
        <f t="shared" si="103"/>
        <v>400</v>
      </c>
      <c r="D959" t="str">
        <f>"613870"</f>
        <v>613870</v>
      </c>
      <c r="E959" t="s">
        <v>19</v>
      </c>
      <c r="F959" t="s">
        <v>932</v>
      </c>
      <c r="G959">
        <v>250</v>
      </c>
      <c r="H959" t="str">
        <f>""</f>
        <v/>
      </c>
      <c r="I959">
        <v>50</v>
      </c>
      <c r="J959">
        <v>0</v>
      </c>
      <c r="K959" t="str">
        <f t="shared" si="107"/>
        <v>31000</v>
      </c>
      <c r="L959" t="str">
        <f t="shared" si="108"/>
        <v>0</v>
      </c>
      <c r="M959" t="str">
        <f t="shared" si="108"/>
        <v>0</v>
      </c>
      <c r="N959" t="str">
        <f t="shared" si="108"/>
        <v>0</v>
      </c>
    </row>
    <row r="960" spans="1:14" x14ac:dyDescent="0.3">
      <c r="A960" t="s">
        <v>17</v>
      </c>
      <c r="B960" t="s">
        <v>18</v>
      </c>
      <c r="C960" t="str">
        <f t="shared" si="103"/>
        <v>400</v>
      </c>
      <c r="D960" t="str">
        <f>"613871"</f>
        <v>613871</v>
      </c>
      <c r="E960" t="s">
        <v>19</v>
      </c>
      <c r="F960" t="s">
        <v>933</v>
      </c>
      <c r="G960">
        <v>250</v>
      </c>
      <c r="H960" t="str">
        <f>""</f>
        <v/>
      </c>
      <c r="I960">
        <v>12</v>
      </c>
      <c r="J960">
        <v>0</v>
      </c>
      <c r="K960" t="str">
        <f t="shared" si="107"/>
        <v>31000</v>
      </c>
      <c r="L960" t="str">
        <f t="shared" si="108"/>
        <v>0</v>
      </c>
      <c r="M960" t="str">
        <f t="shared" si="108"/>
        <v>0</v>
      </c>
      <c r="N960" t="str">
        <f t="shared" si="108"/>
        <v>0</v>
      </c>
    </row>
    <row r="961" spans="1:14" x14ac:dyDescent="0.3">
      <c r="A961" t="s">
        <v>17</v>
      </c>
      <c r="B961" t="s">
        <v>18</v>
      </c>
      <c r="C961" t="str">
        <f t="shared" si="103"/>
        <v>400</v>
      </c>
      <c r="D961" t="str">
        <f>"613872"</f>
        <v>613872</v>
      </c>
      <c r="E961" t="s">
        <v>19</v>
      </c>
      <c r="F961" t="s">
        <v>934</v>
      </c>
      <c r="G961">
        <v>250</v>
      </c>
      <c r="H961" t="str">
        <f>""</f>
        <v/>
      </c>
      <c r="I961">
        <v>7.5</v>
      </c>
      <c r="J961">
        <v>0</v>
      </c>
      <c r="K961" t="str">
        <f t="shared" si="107"/>
        <v>31000</v>
      </c>
      <c r="L961" t="str">
        <f t="shared" si="108"/>
        <v>0</v>
      </c>
      <c r="M961" t="str">
        <f t="shared" si="108"/>
        <v>0</v>
      </c>
      <c r="N961" t="str">
        <f t="shared" si="108"/>
        <v>0</v>
      </c>
    </row>
    <row r="962" spans="1:14" x14ac:dyDescent="0.3">
      <c r="A962" t="s">
        <v>17</v>
      </c>
      <c r="B962" t="s">
        <v>18</v>
      </c>
      <c r="C962" t="str">
        <f t="shared" ref="C962:C1025" si="109">"400"</f>
        <v>400</v>
      </c>
      <c r="D962" t="str">
        <f>"613876"</f>
        <v>613876</v>
      </c>
      <c r="E962" t="s">
        <v>19</v>
      </c>
      <c r="F962" t="s">
        <v>935</v>
      </c>
      <c r="G962">
        <v>250</v>
      </c>
      <c r="H962" t="str">
        <f>""</f>
        <v/>
      </c>
      <c r="I962">
        <v>5.5</v>
      </c>
      <c r="J962">
        <v>0</v>
      </c>
      <c r="K962" t="str">
        <f t="shared" si="107"/>
        <v>31000</v>
      </c>
      <c r="L962" t="str">
        <f t="shared" si="108"/>
        <v>0</v>
      </c>
      <c r="M962" t="str">
        <f t="shared" si="108"/>
        <v>0</v>
      </c>
      <c r="N962" t="str">
        <f t="shared" si="108"/>
        <v>0</v>
      </c>
    </row>
    <row r="963" spans="1:14" x14ac:dyDescent="0.3">
      <c r="A963" t="s">
        <v>17</v>
      </c>
      <c r="B963" t="s">
        <v>18</v>
      </c>
      <c r="C963" t="str">
        <f t="shared" si="109"/>
        <v>400</v>
      </c>
      <c r="D963" t="str">
        <f>"613877"</f>
        <v>613877</v>
      </c>
      <c r="E963" t="s">
        <v>19</v>
      </c>
      <c r="F963" t="s">
        <v>936</v>
      </c>
      <c r="G963">
        <v>250</v>
      </c>
      <c r="H963" t="str">
        <f>""</f>
        <v/>
      </c>
      <c r="I963">
        <v>7.95</v>
      </c>
      <c r="J963">
        <v>0</v>
      </c>
      <c r="K963" t="str">
        <f t="shared" si="107"/>
        <v>31000</v>
      </c>
      <c r="L963" t="str">
        <f t="shared" si="108"/>
        <v>0</v>
      </c>
      <c r="M963" t="str">
        <f t="shared" si="108"/>
        <v>0</v>
      </c>
      <c r="N963" t="str">
        <f t="shared" si="108"/>
        <v>0</v>
      </c>
    </row>
    <row r="964" spans="1:14" x14ac:dyDescent="0.3">
      <c r="A964" t="s">
        <v>17</v>
      </c>
      <c r="B964" t="s">
        <v>18</v>
      </c>
      <c r="C964" t="str">
        <f t="shared" si="109"/>
        <v>400</v>
      </c>
      <c r="D964" t="str">
        <f>"613878"</f>
        <v>613878</v>
      </c>
      <c r="E964" t="s">
        <v>19</v>
      </c>
      <c r="F964" t="s">
        <v>937</v>
      </c>
      <c r="G964">
        <v>250</v>
      </c>
      <c r="H964" t="str">
        <f>""</f>
        <v/>
      </c>
      <c r="I964">
        <v>8.9</v>
      </c>
      <c r="J964">
        <v>0</v>
      </c>
      <c r="K964" t="str">
        <f t="shared" si="107"/>
        <v>31000</v>
      </c>
      <c r="L964" t="str">
        <f t="shared" si="108"/>
        <v>0</v>
      </c>
      <c r="M964" t="str">
        <f t="shared" si="108"/>
        <v>0</v>
      </c>
      <c r="N964" t="str">
        <f t="shared" si="108"/>
        <v>0</v>
      </c>
    </row>
    <row r="965" spans="1:14" x14ac:dyDescent="0.3">
      <c r="A965" t="s">
        <v>17</v>
      </c>
      <c r="B965" t="s">
        <v>18</v>
      </c>
      <c r="C965" t="str">
        <f t="shared" si="109"/>
        <v>400</v>
      </c>
      <c r="D965" t="str">
        <f>"613879"</f>
        <v>613879</v>
      </c>
      <c r="E965" t="s">
        <v>19</v>
      </c>
      <c r="F965" t="s">
        <v>938</v>
      </c>
      <c r="G965">
        <v>250</v>
      </c>
      <c r="H965" t="str">
        <f>""</f>
        <v/>
      </c>
      <c r="I965">
        <v>334</v>
      </c>
      <c r="J965">
        <v>0</v>
      </c>
      <c r="K965" t="str">
        <f t="shared" si="107"/>
        <v>31000</v>
      </c>
      <c r="L965" t="str">
        <f t="shared" si="108"/>
        <v>0</v>
      </c>
      <c r="M965" t="str">
        <f t="shared" si="108"/>
        <v>0</v>
      </c>
      <c r="N965" t="str">
        <f t="shared" si="108"/>
        <v>0</v>
      </c>
    </row>
    <row r="966" spans="1:14" x14ac:dyDescent="0.3">
      <c r="A966" t="s">
        <v>17</v>
      </c>
      <c r="B966" t="s">
        <v>18</v>
      </c>
      <c r="C966" t="str">
        <f t="shared" si="109"/>
        <v>400</v>
      </c>
      <c r="D966" t="str">
        <f>"613880"</f>
        <v>613880</v>
      </c>
      <c r="E966" t="s">
        <v>19</v>
      </c>
      <c r="F966" t="s">
        <v>939</v>
      </c>
      <c r="G966">
        <v>250</v>
      </c>
      <c r="H966" t="str">
        <f>""</f>
        <v/>
      </c>
      <c r="I966">
        <v>12.75</v>
      </c>
      <c r="J966">
        <v>0</v>
      </c>
      <c r="K966" t="str">
        <f t="shared" si="107"/>
        <v>31000</v>
      </c>
      <c r="L966" t="str">
        <f t="shared" si="108"/>
        <v>0</v>
      </c>
      <c r="M966" t="str">
        <f t="shared" si="108"/>
        <v>0</v>
      </c>
      <c r="N966" t="str">
        <f t="shared" si="108"/>
        <v>0</v>
      </c>
    </row>
    <row r="967" spans="1:14" x14ac:dyDescent="0.3">
      <c r="A967" t="s">
        <v>17</v>
      </c>
      <c r="B967" t="s">
        <v>18</v>
      </c>
      <c r="C967" t="str">
        <f t="shared" si="109"/>
        <v>400</v>
      </c>
      <c r="D967" t="str">
        <f>"613882"</f>
        <v>613882</v>
      </c>
      <c r="E967" t="s">
        <v>19</v>
      </c>
      <c r="F967" t="s">
        <v>940</v>
      </c>
      <c r="G967">
        <v>250</v>
      </c>
      <c r="H967" t="str">
        <f>""</f>
        <v/>
      </c>
      <c r="I967">
        <v>657.68</v>
      </c>
      <c r="J967">
        <v>0</v>
      </c>
      <c r="K967" t="str">
        <f t="shared" si="107"/>
        <v>31000</v>
      </c>
      <c r="L967" t="str">
        <f t="shared" si="108"/>
        <v>0</v>
      </c>
      <c r="M967" t="str">
        <f t="shared" si="108"/>
        <v>0</v>
      </c>
      <c r="N967" t="str">
        <f t="shared" si="108"/>
        <v>0</v>
      </c>
    </row>
    <row r="968" spans="1:14" x14ac:dyDescent="0.3">
      <c r="A968" t="s">
        <v>17</v>
      </c>
      <c r="B968" t="s">
        <v>18</v>
      </c>
      <c r="C968" t="str">
        <f t="shared" si="109"/>
        <v>400</v>
      </c>
      <c r="D968" t="str">
        <f>"613884"</f>
        <v>613884</v>
      </c>
      <c r="E968" t="s">
        <v>19</v>
      </c>
      <c r="F968" t="s">
        <v>941</v>
      </c>
      <c r="G968">
        <v>250</v>
      </c>
      <c r="H968" t="str">
        <f>""</f>
        <v/>
      </c>
      <c r="I968">
        <v>10</v>
      </c>
      <c r="J968">
        <v>0</v>
      </c>
      <c r="K968" t="str">
        <f t="shared" si="107"/>
        <v>31000</v>
      </c>
      <c r="L968" t="str">
        <f t="shared" si="108"/>
        <v>0</v>
      </c>
      <c r="M968" t="str">
        <f t="shared" si="108"/>
        <v>0</v>
      </c>
      <c r="N968" t="str">
        <f t="shared" si="108"/>
        <v>0</v>
      </c>
    </row>
    <row r="969" spans="1:14" x14ac:dyDescent="0.3">
      <c r="A969" t="s">
        <v>17</v>
      </c>
      <c r="B969" t="s">
        <v>18</v>
      </c>
      <c r="C969" t="str">
        <f t="shared" si="109"/>
        <v>400</v>
      </c>
      <c r="D969" t="str">
        <f>"613886"</f>
        <v>613886</v>
      </c>
      <c r="E969" t="s">
        <v>19</v>
      </c>
      <c r="F969" t="s">
        <v>942</v>
      </c>
      <c r="G969">
        <v>250</v>
      </c>
      <c r="H969" t="str">
        <f>""</f>
        <v/>
      </c>
      <c r="I969">
        <v>6.6</v>
      </c>
      <c r="J969">
        <v>0</v>
      </c>
      <c r="K969" t="str">
        <f t="shared" si="107"/>
        <v>31000</v>
      </c>
      <c r="L969" t="str">
        <f t="shared" si="108"/>
        <v>0</v>
      </c>
      <c r="M969" t="str">
        <f t="shared" si="108"/>
        <v>0</v>
      </c>
      <c r="N969" t="str">
        <f t="shared" si="108"/>
        <v>0</v>
      </c>
    </row>
    <row r="970" spans="1:14" x14ac:dyDescent="0.3">
      <c r="A970" t="s">
        <v>17</v>
      </c>
      <c r="B970" t="s">
        <v>18</v>
      </c>
      <c r="C970" t="str">
        <f t="shared" si="109"/>
        <v>400</v>
      </c>
      <c r="D970" t="str">
        <f>"613887"</f>
        <v>613887</v>
      </c>
      <c r="E970" t="s">
        <v>19</v>
      </c>
      <c r="F970" t="s">
        <v>943</v>
      </c>
      <c r="G970">
        <v>250</v>
      </c>
      <c r="H970" t="str">
        <f>""</f>
        <v/>
      </c>
      <c r="I970">
        <v>4.5</v>
      </c>
      <c r="J970">
        <v>0</v>
      </c>
      <c r="K970" t="str">
        <f t="shared" si="107"/>
        <v>31000</v>
      </c>
      <c r="L970" t="str">
        <f t="shared" ref="L970:N989" si="110">"0"</f>
        <v>0</v>
      </c>
      <c r="M970" t="str">
        <f t="shared" si="110"/>
        <v>0</v>
      </c>
      <c r="N970" t="str">
        <f t="shared" si="110"/>
        <v>0</v>
      </c>
    </row>
    <row r="971" spans="1:14" x14ac:dyDescent="0.3">
      <c r="A971" t="s">
        <v>17</v>
      </c>
      <c r="B971" t="s">
        <v>18</v>
      </c>
      <c r="C971" t="str">
        <f t="shared" si="109"/>
        <v>400</v>
      </c>
      <c r="D971" t="str">
        <f>"613888"</f>
        <v>613888</v>
      </c>
      <c r="E971" t="s">
        <v>19</v>
      </c>
      <c r="F971" t="s">
        <v>944</v>
      </c>
      <c r="G971">
        <v>250</v>
      </c>
      <c r="H971" t="str">
        <f>""</f>
        <v/>
      </c>
      <c r="I971">
        <v>16</v>
      </c>
      <c r="J971">
        <v>0</v>
      </c>
      <c r="K971" t="str">
        <f t="shared" si="107"/>
        <v>31000</v>
      </c>
      <c r="L971" t="str">
        <f t="shared" si="110"/>
        <v>0</v>
      </c>
      <c r="M971" t="str">
        <f t="shared" si="110"/>
        <v>0</v>
      </c>
      <c r="N971" t="str">
        <f t="shared" si="110"/>
        <v>0</v>
      </c>
    </row>
    <row r="972" spans="1:14" x14ac:dyDescent="0.3">
      <c r="A972" t="s">
        <v>17</v>
      </c>
      <c r="B972" t="s">
        <v>18</v>
      </c>
      <c r="C972" t="str">
        <f t="shared" si="109"/>
        <v>400</v>
      </c>
      <c r="D972" t="str">
        <f>"613890"</f>
        <v>613890</v>
      </c>
      <c r="E972" t="s">
        <v>19</v>
      </c>
      <c r="F972" t="s">
        <v>945</v>
      </c>
      <c r="G972">
        <v>250</v>
      </c>
      <c r="H972" t="str">
        <f>""</f>
        <v/>
      </c>
      <c r="I972">
        <v>12.95</v>
      </c>
      <c r="J972">
        <v>0</v>
      </c>
      <c r="K972" t="str">
        <f t="shared" si="107"/>
        <v>31000</v>
      </c>
      <c r="L972" t="str">
        <f t="shared" si="110"/>
        <v>0</v>
      </c>
      <c r="M972" t="str">
        <f t="shared" si="110"/>
        <v>0</v>
      </c>
      <c r="N972" t="str">
        <f t="shared" si="110"/>
        <v>0</v>
      </c>
    </row>
    <row r="973" spans="1:14" x14ac:dyDescent="0.3">
      <c r="A973" t="s">
        <v>17</v>
      </c>
      <c r="B973" t="s">
        <v>18</v>
      </c>
      <c r="C973" t="str">
        <f t="shared" si="109"/>
        <v>400</v>
      </c>
      <c r="D973" t="str">
        <f>"613891"</f>
        <v>613891</v>
      </c>
      <c r="E973" t="s">
        <v>19</v>
      </c>
      <c r="F973" t="s">
        <v>946</v>
      </c>
      <c r="G973">
        <v>250</v>
      </c>
      <c r="H973" t="str">
        <f>""</f>
        <v/>
      </c>
      <c r="I973">
        <v>1.49</v>
      </c>
      <c r="J973">
        <v>0</v>
      </c>
      <c r="K973" t="str">
        <f t="shared" si="107"/>
        <v>31000</v>
      </c>
      <c r="L973" t="str">
        <f t="shared" si="110"/>
        <v>0</v>
      </c>
      <c r="M973" t="str">
        <f t="shared" si="110"/>
        <v>0</v>
      </c>
      <c r="N973" t="str">
        <f t="shared" si="110"/>
        <v>0</v>
      </c>
    </row>
    <row r="974" spans="1:14" x14ac:dyDescent="0.3">
      <c r="A974" t="s">
        <v>17</v>
      </c>
      <c r="B974" t="s">
        <v>18</v>
      </c>
      <c r="C974" t="str">
        <f t="shared" si="109"/>
        <v>400</v>
      </c>
      <c r="D974" t="str">
        <f>"613895"</f>
        <v>613895</v>
      </c>
      <c r="E974" t="s">
        <v>19</v>
      </c>
      <c r="F974" t="s">
        <v>947</v>
      </c>
      <c r="G974">
        <v>250</v>
      </c>
      <c r="H974" t="str">
        <f>""</f>
        <v/>
      </c>
      <c r="I974">
        <v>8.5</v>
      </c>
      <c r="J974">
        <v>0</v>
      </c>
      <c r="K974" t="str">
        <f t="shared" si="107"/>
        <v>31000</v>
      </c>
      <c r="L974" t="str">
        <f t="shared" si="110"/>
        <v>0</v>
      </c>
      <c r="M974" t="str">
        <f t="shared" si="110"/>
        <v>0</v>
      </c>
      <c r="N974" t="str">
        <f t="shared" si="110"/>
        <v>0</v>
      </c>
    </row>
    <row r="975" spans="1:14" x14ac:dyDescent="0.3">
      <c r="A975" t="s">
        <v>17</v>
      </c>
      <c r="B975" t="s">
        <v>18</v>
      </c>
      <c r="C975" t="str">
        <f t="shared" si="109"/>
        <v>400</v>
      </c>
      <c r="D975" t="str">
        <f>"613896"</f>
        <v>613896</v>
      </c>
      <c r="E975" t="s">
        <v>19</v>
      </c>
      <c r="F975" t="s">
        <v>948</v>
      </c>
      <c r="G975">
        <v>250</v>
      </c>
      <c r="H975" t="str">
        <f>""</f>
        <v/>
      </c>
      <c r="I975">
        <v>5.98</v>
      </c>
      <c r="J975">
        <v>0</v>
      </c>
      <c r="K975" t="str">
        <f t="shared" si="107"/>
        <v>31000</v>
      </c>
      <c r="L975" t="str">
        <f t="shared" si="110"/>
        <v>0</v>
      </c>
      <c r="M975" t="str">
        <f t="shared" si="110"/>
        <v>0</v>
      </c>
      <c r="N975" t="str">
        <f t="shared" si="110"/>
        <v>0</v>
      </c>
    </row>
    <row r="976" spans="1:14" x14ac:dyDescent="0.3">
      <c r="A976" t="s">
        <v>17</v>
      </c>
      <c r="B976" t="s">
        <v>18</v>
      </c>
      <c r="C976" t="str">
        <f t="shared" si="109"/>
        <v>400</v>
      </c>
      <c r="D976" t="str">
        <f>"613898"</f>
        <v>613898</v>
      </c>
      <c r="E976" t="s">
        <v>19</v>
      </c>
      <c r="F976" t="s">
        <v>949</v>
      </c>
      <c r="G976">
        <v>250</v>
      </c>
      <c r="I976">
        <v>12.75</v>
      </c>
      <c r="J976">
        <v>0</v>
      </c>
      <c r="K976" t="str">
        <f t="shared" si="107"/>
        <v>31000</v>
      </c>
      <c r="L976" t="str">
        <f t="shared" si="110"/>
        <v>0</v>
      </c>
      <c r="M976" t="str">
        <f t="shared" si="110"/>
        <v>0</v>
      </c>
      <c r="N976" t="str">
        <f t="shared" si="110"/>
        <v>0</v>
      </c>
    </row>
    <row r="977" spans="1:14" x14ac:dyDescent="0.3">
      <c r="A977" t="s">
        <v>17</v>
      </c>
      <c r="B977" t="s">
        <v>18</v>
      </c>
      <c r="C977" t="str">
        <f t="shared" si="109"/>
        <v>400</v>
      </c>
      <c r="D977" t="str">
        <f>"613900"</f>
        <v>613900</v>
      </c>
      <c r="E977" t="s">
        <v>19</v>
      </c>
      <c r="F977" t="s">
        <v>950</v>
      </c>
      <c r="G977">
        <v>250</v>
      </c>
      <c r="H977" t="str">
        <f>""</f>
        <v/>
      </c>
      <c r="I977">
        <v>5.4</v>
      </c>
      <c r="J977">
        <v>0</v>
      </c>
      <c r="K977" t="str">
        <f t="shared" si="107"/>
        <v>31000</v>
      </c>
      <c r="L977" t="str">
        <f t="shared" si="110"/>
        <v>0</v>
      </c>
      <c r="M977" t="str">
        <f t="shared" si="110"/>
        <v>0</v>
      </c>
      <c r="N977" t="str">
        <f t="shared" si="110"/>
        <v>0</v>
      </c>
    </row>
    <row r="978" spans="1:14" x14ac:dyDescent="0.3">
      <c r="A978" t="s">
        <v>17</v>
      </c>
      <c r="B978" t="s">
        <v>18</v>
      </c>
      <c r="C978" t="str">
        <f t="shared" si="109"/>
        <v>400</v>
      </c>
      <c r="D978" t="str">
        <f>"613901"</f>
        <v>613901</v>
      </c>
      <c r="E978" t="s">
        <v>19</v>
      </c>
      <c r="F978" t="s">
        <v>951</v>
      </c>
      <c r="G978">
        <v>250</v>
      </c>
      <c r="H978" t="str">
        <f>""</f>
        <v/>
      </c>
      <c r="I978">
        <v>4.5</v>
      </c>
      <c r="J978">
        <v>0</v>
      </c>
      <c r="K978" t="str">
        <f t="shared" si="107"/>
        <v>31000</v>
      </c>
      <c r="L978" t="str">
        <f t="shared" si="110"/>
        <v>0</v>
      </c>
      <c r="M978" t="str">
        <f t="shared" si="110"/>
        <v>0</v>
      </c>
      <c r="N978" t="str">
        <f t="shared" si="110"/>
        <v>0</v>
      </c>
    </row>
    <row r="979" spans="1:14" x14ac:dyDescent="0.3">
      <c r="A979" t="s">
        <v>17</v>
      </c>
      <c r="B979" t="s">
        <v>18</v>
      </c>
      <c r="C979" t="str">
        <f t="shared" si="109"/>
        <v>400</v>
      </c>
      <c r="D979" t="str">
        <f>"613902"</f>
        <v>613902</v>
      </c>
      <c r="E979" t="s">
        <v>19</v>
      </c>
      <c r="F979" t="s">
        <v>952</v>
      </c>
      <c r="G979">
        <v>250</v>
      </c>
      <c r="H979" t="str">
        <f>""</f>
        <v/>
      </c>
      <c r="I979">
        <v>5.7</v>
      </c>
      <c r="J979">
        <v>0</v>
      </c>
      <c r="K979" t="str">
        <f t="shared" si="107"/>
        <v>31000</v>
      </c>
      <c r="L979" t="str">
        <f t="shared" si="110"/>
        <v>0</v>
      </c>
      <c r="M979" t="str">
        <f t="shared" si="110"/>
        <v>0</v>
      </c>
      <c r="N979" t="str">
        <f t="shared" si="110"/>
        <v>0</v>
      </c>
    </row>
    <row r="980" spans="1:14" x14ac:dyDescent="0.3">
      <c r="A980" t="s">
        <v>17</v>
      </c>
      <c r="B980" t="s">
        <v>18</v>
      </c>
      <c r="C980" t="str">
        <f t="shared" si="109"/>
        <v>400</v>
      </c>
      <c r="D980" t="str">
        <f>"613904"</f>
        <v>613904</v>
      </c>
      <c r="E980" t="s">
        <v>19</v>
      </c>
      <c r="F980" t="s">
        <v>953</v>
      </c>
      <c r="G980">
        <v>250</v>
      </c>
      <c r="H980" t="str">
        <f>""</f>
        <v/>
      </c>
      <c r="I980">
        <v>7</v>
      </c>
      <c r="J980">
        <v>0</v>
      </c>
      <c r="K980" t="str">
        <f t="shared" si="107"/>
        <v>31000</v>
      </c>
      <c r="L980" t="str">
        <f t="shared" si="110"/>
        <v>0</v>
      </c>
      <c r="M980" t="str">
        <f t="shared" si="110"/>
        <v>0</v>
      </c>
      <c r="N980" t="str">
        <f t="shared" si="110"/>
        <v>0</v>
      </c>
    </row>
    <row r="981" spans="1:14" x14ac:dyDescent="0.3">
      <c r="A981" t="s">
        <v>17</v>
      </c>
      <c r="B981" t="s">
        <v>18</v>
      </c>
      <c r="C981" t="str">
        <f t="shared" si="109"/>
        <v>400</v>
      </c>
      <c r="D981" t="str">
        <f>"613917"</f>
        <v>613917</v>
      </c>
      <c r="E981" t="s">
        <v>19</v>
      </c>
      <c r="F981" t="s">
        <v>954</v>
      </c>
      <c r="G981">
        <v>250</v>
      </c>
      <c r="H981" t="str">
        <f>""</f>
        <v/>
      </c>
      <c r="I981">
        <v>12</v>
      </c>
      <c r="J981">
        <v>0</v>
      </c>
      <c r="K981" t="str">
        <f t="shared" si="107"/>
        <v>31000</v>
      </c>
      <c r="L981" t="str">
        <f t="shared" si="110"/>
        <v>0</v>
      </c>
      <c r="M981" t="str">
        <f t="shared" si="110"/>
        <v>0</v>
      </c>
      <c r="N981" t="str">
        <f t="shared" si="110"/>
        <v>0</v>
      </c>
    </row>
    <row r="982" spans="1:14" x14ac:dyDescent="0.3">
      <c r="A982" t="s">
        <v>17</v>
      </c>
      <c r="B982" t="s">
        <v>18</v>
      </c>
      <c r="C982" t="str">
        <f t="shared" si="109"/>
        <v>400</v>
      </c>
      <c r="D982" t="str">
        <f>"613918"</f>
        <v>613918</v>
      </c>
      <c r="E982" t="s">
        <v>19</v>
      </c>
      <c r="F982" t="s">
        <v>955</v>
      </c>
      <c r="G982">
        <v>250</v>
      </c>
      <c r="H982" t="str">
        <f>""</f>
        <v/>
      </c>
      <c r="I982">
        <v>6.5</v>
      </c>
      <c r="J982">
        <v>0</v>
      </c>
      <c r="K982" t="str">
        <f t="shared" si="107"/>
        <v>31000</v>
      </c>
      <c r="L982" t="str">
        <f t="shared" si="110"/>
        <v>0</v>
      </c>
      <c r="M982" t="str">
        <f t="shared" si="110"/>
        <v>0</v>
      </c>
      <c r="N982" t="str">
        <f t="shared" si="110"/>
        <v>0</v>
      </c>
    </row>
    <row r="983" spans="1:14" x14ac:dyDescent="0.3">
      <c r="A983" t="s">
        <v>17</v>
      </c>
      <c r="B983" t="s">
        <v>18</v>
      </c>
      <c r="C983" t="str">
        <f t="shared" si="109"/>
        <v>400</v>
      </c>
      <c r="D983" t="str">
        <f>"613929"</f>
        <v>613929</v>
      </c>
      <c r="E983" t="s">
        <v>19</v>
      </c>
      <c r="F983" t="s">
        <v>956</v>
      </c>
      <c r="G983">
        <v>250</v>
      </c>
      <c r="H983" t="str">
        <f>""</f>
        <v/>
      </c>
      <c r="I983">
        <v>7.5</v>
      </c>
      <c r="J983">
        <v>0</v>
      </c>
      <c r="K983" t="str">
        <f t="shared" si="107"/>
        <v>31000</v>
      </c>
      <c r="L983" t="str">
        <f t="shared" si="110"/>
        <v>0</v>
      </c>
      <c r="M983" t="str">
        <f t="shared" si="110"/>
        <v>0</v>
      </c>
      <c r="N983" t="str">
        <f t="shared" si="110"/>
        <v>0</v>
      </c>
    </row>
    <row r="984" spans="1:14" x14ac:dyDescent="0.3">
      <c r="A984" t="s">
        <v>17</v>
      </c>
      <c r="B984" t="s">
        <v>18</v>
      </c>
      <c r="C984" t="str">
        <f t="shared" si="109"/>
        <v>400</v>
      </c>
      <c r="D984" t="str">
        <f>"613947"</f>
        <v>613947</v>
      </c>
      <c r="E984" t="s">
        <v>19</v>
      </c>
      <c r="F984" t="s">
        <v>957</v>
      </c>
      <c r="G984">
        <v>250</v>
      </c>
      <c r="H984" t="str">
        <f>""</f>
        <v/>
      </c>
      <c r="I984">
        <v>6.5</v>
      </c>
      <c r="J984">
        <v>0</v>
      </c>
      <c r="K984" t="str">
        <f t="shared" si="107"/>
        <v>31000</v>
      </c>
      <c r="L984" t="str">
        <f t="shared" si="110"/>
        <v>0</v>
      </c>
      <c r="M984" t="str">
        <f t="shared" si="110"/>
        <v>0</v>
      </c>
      <c r="N984" t="str">
        <f t="shared" si="110"/>
        <v>0</v>
      </c>
    </row>
    <row r="985" spans="1:14" x14ac:dyDescent="0.3">
      <c r="A985" t="s">
        <v>17</v>
      </c>
      <c r="B985" t="s">
        <v>18</v>
      </c>
      <c r="C985" t="str">
        <f t="shared" si="109"/>
        <v>400</v>
      </c>
      <c r="D985" t="str">
        <f>"613987"</f>
        <v>613987</v>
      </c>
      <c r="E985" t="s">
        <v>19</v>
      </c>
      <c r="F985" t="s">
        <v>958</v>
      </c>
      <c r="G985">
        <v>250</v>
      </c>
      <c r="H985" t="str">
        <f>""</f>
        <v/>
      </c>
      <c r="I985">
        <v>39</v>
      </c>
      <c r="J985">
        <v>0</v>
      </c>
      <c r="K985" t="str">
        <f t="shared" si="107"/>
        <v>31000</v>
      </c>
      <c r="L985" t="str">
        <f t="shared" si="110"/>
        <v>0</v>
      </c>
      <c r="M985" t="str">
        <f t="shared" si="110"/>
        <v>0</v>
      </c>
      <c r="N985" t="str">
        <f t="shared" si="110"/>
        <v>0</v>
      </c>
    </row>
    <row r="986" spans="1:14" x14ac:dyDescent="0.3">
      <c r="A986" t="s">
        <v>17</v>
      </c>
      <c r="B986" t="s">
        <v>18</v>
      </c>
      <c r="C986" t="str">
        <f t="shared" si="109"/>
        <v>400</v>
      </c>
      <c r="D986" t="str">
        <f>"613991"</f>
        <v>613991</v>
      </c>
      <c r="E986" t="s">
        <v>19</v>
      </c>
      <c r="F986" t="s">
        <v>959</v>
      </c>
      <c r="G986">
        <v>250</v>
      </c>
      <c r="H986" t="str">
        <f>""</f>
        <v/>
      </c>
      <c r="I986">
        <v>90</v>
      </c>
      <c r="J986">
        <v>0</v>
      </c>
      <c r="K986" t="str">
        <f t="shared" si="107"/>
        <v>31000</v>
      </c>
      <c r="L986" t="str">
        <f t="shared" si="110"/>
        <v>0</v>
      </c>
      <c r="M986" t="str">
        <f t="shared" si="110"/>
        <v>0</v>
      </c>
      <c r="N986" t="str">
        <f t="shared" si="110"/>
        <v>0</v>
      </c>
    </row>
    <row r="987" spans="1:14" x14ac:dyDescent="0.3">
      <c r="A987" t="s">
        <v>17</v>
      </c>
      <c r="B987" t="s">
        <v>18</v>
      </c>
      <c r="C987" t="str">
        <f t="shared" si="109"/>
        <v>400</v>
      </c>
      <c r="D987" t="str">
        <f>"613992"</f>
        <v>613992</v>
      </c>
      <c r="E987" t="s">
        <v>19</v>
      </c>
      <c r="F987" t="s">
        <v>960</v>
      </c>
      <c r="G987">
        <v>250</v>
      </c>
      <c r="H987" t="str">
        <f>""</f>
        <v/>
      </c>
      <c r="I987">
        <v>11.7</v>
      </c>
      <c r="J987">
        <v>0</v>
      </c>
      <c r="K987" t="str">
        <f t="shared" si="107"/>
        <v>31000</v>
      </c>
      <c r="L987" t="str">
        <f t="shared" si="110"/>
        <v>0</v>
      </c>
      <c r="M987" t="str">
        <f t="shared" si="110"/>
        <v>0</v>
      </c>
      <c r="N987" t="str">
        <f t="shared" si="110"/>
        <v>0</v>
      </c>
    </row>
    <row r="988" spans="1:14" x14ac:dyDescent="0.3">
      <c r="A988" t="s">
        <v>17</v>
      </c>
      <c r="B988" t="s">
        <v>18</v>
      </c>
      <c r="C988" t="str">
        <f t="shared" si="109"/>
        <v>400</v>
      </c>
      <c r="D988" t="str">
        <f>"613993"</f>
        <v>613993</v>
      </c>
      <c r="E988" t="s">
        <v>19</v>
      </c>
      <c r="F988" t="s">
        <v>961</v>
      </c>
      <c r="G988">
        <v>250</v>
      </c>
      <c r="H988" t="str">
        <f>""</f>
        <v/>
      </c>
      <c r="I988">
        <v>11.7</v>
      </c>
      <c r="J988">
        <v>0</v>
      </c>
      <c r="K988" t="str">
        <f t="shared" si="107"/>
        <v>31000</v>
      </c>
      <c r="L988" t="str">
        <f t="shared" si="110"/>
        <v>0</v>
      </c>
      <c r="M988" t="str">
        <f t="shared" si="110"/>
        <v>0</v>
      </c>
      <c r="N988" t="str">
        <f t="shared" si="110"/>
        <v>0</v>
      </c>
    </row>
    <row r="989" spans="1:14" x14ac:dyDescent="0.3">
      <c r="A989" t="s">
        <v>17</v>
      </c>
      <c r="B989" t="s">
        <v>18</v>
      </c>
      <c r="C989" t="str">
        <f t="shared" si="109"/>
        <v>400</v>
      </c>
      <c r="D989" t="str">
        <f>"613994"</f>
        <v>613994</v>
      </c>
      <c r="E989" t="s">
        <v>19</v>
      </c>
      <c r="F989" t="s">
        <v>962</v>
      </c>
      <c r="G989">
        <v>250</v>
      </c>
      <c r="H989" t="str">
        <f>""</f>
        <v/>
      </c>
      <c r="I989">
        <v>11.7</v>
      </c>
      <c r="J989">
        <v>0</v>
      </c>
      <c r="K989" t="str">
        <f t="shared" si="107"/>
        <v>31000</v>
      </c>
      <c r="L989" t="str">
        <f t="shared" si="110"/>
        <v>0</v>
      </c>
      <c r="M989" t="str">
        <f t="shared" si="110"/>
        <v>0</v>
      </c>
      <c r="N989" t="str">
        <f t="shared" si="110"/>
        <v>0</v>
      </c>
    </row>
    <row r="990" spans="1:14" x14ac:dyDescent="0.3">
      <c r="A990" t="s">
        <v>17</v>
      </c>
      <c r="B990" t="s">
        <v>18</v>
      </c>
      <c r="C990" t="str">
        <f t="shared" si="109"/>
        <v>400</v>
      </c>
      <c r="D990" t="str">
        <f>"613999"</f>
        <v>613999</v>
      </c>
      <c r="E990" t="s">
        <v>19</v>
      </c>
      <c r="F990" t="s">
        <v>963</v>
      </c>
      <c r="G990">
        <v>250</v>
      </c>
      <c r="H990" t="str">
        <f>""</f>
        <v/>
      </c>
      <c r="I990">
        <v>4.5</v>
      </c>
      <c r="J990">
        <v>0</v>
      </c>
      <c r="K990" t="str">
        <f t="shared" si="107"/>
        <v>31000</v>
      </c>
      <c r="L990" t="str">
        <f t="shared" ref="L990:N1006" si="111">"0"</f>
        <v>0</v>
      </c>
      <c r="M990" t="str">
        <f t="shared" si="111"/>
        <v>0</v>
      </c>
      <c r="N990" t="str">
        <f t="shared" si="111"/>
        <v>0</v>
      </c>
    </row>
    <row r="991" spans="1:14" x14ac:dyDescent="0.3">
      <c r="A991" t="s">
        <v>17</v>
      </c>
      <c r="B991" t="s">
        <v>18</v>
      </c>
      <c r="C991" t="str">
        <f t="shared" si="109"/>
        <v>400</v>
      </c>
      <c r="D991" t="str">
        <f>"614000"</f>
        <v>614000</v>
      </c>
      <c r="E991" t="s">
        <v>19</v>
      </c>
      <c r="F991" t="s">
        <v>964</v>
      </c>
      <c r="G991">
        <v>250</v>
      </c>
      <c r="H991" t="str">
        <f>""</f>
        <v/>
      </c>
      <c r="I991">
        <v>6</v>
      </c>
      <c r="J991">
        <v>0</v>
      </c>
      <c r="K991" t="str">
        <f t="shared" si="107"/>
        <v>31000</v>
      </c>
      <c r="L991" t="str">
        <f t="shared" si="111"/>
        <v>0</v>
      </c>
      <c r="M991" t="str">
        <f t="shared" si="111"/>
        <v>0</v>
      </c>
      <c r="N991" t="str">
        <f t="shared" si="111"/>
        <v>0</v>
      </c>
    </row>
    <row r="992" spans="1:14" x14ac:dyDescent="0.3">
      <c r="A992" t="s">
        <v>17</v>
      </c>
      <c r="B992" t="s">
        <v>18</v>
      </c>
      <c r="C992" t="str">
        <f t="shared" si="109"/>
        <v>400</v>
      </c>
      <c r="D992" t="str">
        <f>"614001"</f>
        <v>614001</v>
      </c>
      <c r="E992" t="s">
        <v>19</v>
      </c>
      <c r="F992" t="s">
        <v>965</v>
      </c>
      <c r="G992">
        <v>250</v>
      </c>
      <c r="H992" t="str">
        <f>""</f>
        <v/>
      </c>
      <c r="I992">
        <v>5.5</v>
      </c>
      <c r="J992">
        <v>0</v>
      </c>
      <c r="K992" t="str">
        <f t="shared" si="107"/>
        <v>31000</v>
      </c>
      <c r="L992" t="str">
        <f t="shared" si="111"/>
        <v>0</v>
      </c>
      <c r="M992" t="str">
        <f t="shared" si="111"/>
        <v>0</v>
      </c>
      <c r="N992" t="str">
        <f t="shared" si="111"/>
        <v>0</v>
      </c>
    </row>
    <row r="993" spans="1:14" x14ac:dyDescent="0.3">
      <c r="A993" t="s">
        <v>17</v>
      </c>
      <c r="B993" t="s">
        <v>18</v>
      </c>
      <c r="C993" t="str">
        <f t="shared" si="109"/>
        <v>400</v>
      </c>
      <c r="D993" t="str">
        <f>"614002"</f>
        <v>614002</v>
      </c>
      <c r="E993" t="s">
        <v>19</v>
      </c>
      <c r="F993" t="s">
        <v>966</v>
      </c>
      <c r="G993">
        <v>250</v>
      </c>
      <c r="H993" t="str">
        <f>""</f>
        <v/>
      </c>
      <c r="I993">
        <v>4.5</v>
      </c>
      <c r="J993">
        <v>0</v>
      </c>
      <c r="K993" t="str">
        <f t="shared" si="107"/>
        <v>31000</v>
      </c>
      <c r="L993" t="str">
        <f t="shared" si="111"/>
        <v>0</v>
      </c>
      <c r="M993" t="str">
        <f t="shared" si="111"/>
        <v>0</v>
      </c>
      <c r="N993" t="str">
        <f t="shared" si="111"/>
        <v>0</v>
      </c>
    </row>
    <row r="994" spans="1:14" x14ac:dyDescent="0.3">
      <c r="A994" t="s">
        <v>17</v>
      </c>
      <c r="B994" t="s">
        <v>18</v>
      </c>
      <c r="C994" t="str">
        <f t="shared" si="109"/>
        <v>400</v>
      </c>
      <c r="D994" t="str">
        <f>"614003"</f>
        <v>614003</v>
      </c>
      <c r="E994" t="s">
        <v>19</v>
      </c>
      <c r="F994" t="s">
        <v>967</v>
      </c>
      <c r="G994">
        <v>250</v>
      </c>
      <c r="H994" t="str">
        <f>""</f>
        <v/>
      </c>
      <c r="I994">
        <v>34</v>
      </c>
      <c r="J994">
        <v>0</v>
      </c>
      <c r="K994" t="str">
        <f t="shared" si="107"/>
        <v>31000</v>
      </c>
      <c r="L994" t="str">
        <f t="shared" si="111"/>
        <v>0</v>
      </c>
      <c r="M994" t="str">
        <f t="shared" si="111"/>
        <v>0</v>
      </c>
      <c r="N994" t="str">
        <f t="shared" si="111"/>
        <v>0</v>
      </c>
    </row>
    <row r="995" spans="1:14" x14ac:dyDescent="0.3">
      <c r="A995" t="s">
        <v>17</v>
      </c>
      <c r="B995" t="s">
        <v>18</v>
      </c>
      <c r="C995" t="str">
        <f t="shared" si="109"/>
        <v>400</v>
      </c>
      <c r="D995" t="str">
        <f>"614004"</f>
        <v>614004</v>
      </c>
      <c r="E995" t="s">
        <v>19</v>
      </c>
      <c r="F995" t="s">
        <v>968</v>
      </c>
      <c r="G995">
        <v>250</v>
      </c>
      <c r="H995" t="str">
        <f>""</f>
        <v/>
      </c>
      <c r="I995">
        <v>2.5</v>
      </c>
      <c r="J995">
        <v>0</v>
      </c>
      <c r="K995" t="str">
        <f t="shared" si="107"/>
        <v>31000</v>
      </c>
      <c r="L995" t="str">
        <f t="shared" si="111"/>
        <v>0</v>
      </c>
      <c r="M995" t="str">
        <f t="shared" si="111"/>
        <v>0</v>
      </c>
      <c r="N995" t="str">
        <f t="shared" si="111"/>
        <v>0</v>
      </c>
    </row>
    <row r="996" spans="1:14" x14ac:dyDescent="0.3">
      <c r="A996" t="s">
        <v>17</v>
      </c>
      <c r="B996" t="s">
        <v>18</v>
      </c>
      <c r="C996" t="str">
        <f t="shared" si="109"/>
        <v>400</v>
      </c>
      <c r="D996" t="str">
        <f>"614006"</f>
        <v>614006</v>
      </c>
      <c r="E996" t="s">
        <v>19</v>
      </c>
      <c r="F996" t="s">
        <v>969</v>
      </c>
      <c r="G996">
        <v>250</v>
      </c>
      <c r="H996" t="str">
        <f>""</f>
        <v/>
      </c>
      <c r="I996">
        <v>4.5</v>
      </c>
      <c r="J996">
        <v>0</v>
      </c>
      <c r="K996" t="str">
        <f t="shared" si="107"/>
        <v>31000</v>
      </c>
      <c r="L996" t="str">
        <f t="shared" si="111"/>
        <v>0</v>
      </c>
      <c r="M996" t="str">
        <f t="shared" si="111"/>
        <v>0</v>
      </c>
      <c r="N996" t="str">
        <f t="shared" si="111"/>
        <v>0</v>
      </c>
    </row>
    <row r="997" spans="1:14" x14ac:dyDescent="0.3">
      <c r="A997" t="s">
        <v>17</v>
      </c>
      <c r="B997" t="s">
        <v>18</v>
      </c>
      <c r="C997" t="str">
        <f t="shared" si="109"/>
        <v>400</v>
      </c>
      <c r="D997" t="str">
        <f>"614010"</f>
        <v>614010</v>
      </c>
      <c r="E997" t="s">
        <v>19</v>
      </c>
      <c r="F997" t="s">
        <v>970</v>
      </c>
      <c r="G997">
        <v>250</v>
      </c>
      <c r="H997" t="str">
        <f>""</f>
        <v/>
      </c>
      <c r="I997">
        <v>225</v>
      </c>
      <c r="J997">
        <v>0</v>
      </c>
      <c r="K997" t="str">
        <f t="shared" si="107"/>
        <v>31000</v>
      </c>
      <c r="L997" t="str">
        <f t="shared" si="111"/>
        <v>0</v>
      </c>
      <c r="M997" t="str">
        <f t="shared" si="111"/>
        <v>0</v>
      </c>
      <c r="N997" t="str">
        <f t="shared" si="111"/>
        <v>0</v>
      </c>
    </row>
    <row r="998" spans="1:14" x14ac:dyDescent="0.3">
      <c r="A998" t="s">
        <v>17</v>
      </c>
      <c r="B998" t="s">
        <v>18</v>
      </c>
      <c r="C998" t="str">
        <f t="shared" si="109"/>
        <v>400</v>
      </c>
      <c r="D998" t="str">
        <f>"614011"</f>
        <v>614011</v>
      </c>
      <c r="E998" t="s">
        <v>19</v>
      </c>
      <c r="F998" t="s">
        <v>971</v>
      </c>
      <c r="G998">
        <v>250</v>
      </c>
      <c r="H998" t="str">
        <f>""</f>
        <v/>
      </c>
      <c r="I998">
        <v>5.6</v>
      </c>
      <c r="J998">
        <v>0</v>
      </c>
      <c r="K998" t="str">
        <f t="shared" si="107"/>
        <v>31000</v>
      </c>
      <c r="L998" t="str">
        <f t="shared" si="111"/>
        <v>0</v>
      </c>
      <c r="M998" t="str">
        <f t="shared" si="111"/>
        <v>0</v>
      </c>
      <c r="N998" t="str">
        <f t="shared" si="111"/>
        <v>0</v>
      </c>
    </row>
    <row r="999" spans="1:14" x14ac:dyDescent="0.3">
      <c r="A999" t="s">
        <v>17</v>
      </c>
      <c r="B999" t="s">
        <v>18</v>
      </c>
      <c r="C999" t="str">
        <f t="shared" si="109"/>
        <v>400</v>
      </c>
      <c r="D999" t="str">
        <f>"614012"</f>
        <v>614012</v>
      </c>
      <c r="E999" t="s">
        <v>19</v>
      </c>
      <c r="F999" t="s">
        <v>972</v>
      </c>
      <c r="G999">
        <v>250</v>
      </c>
      <c r="H999" t="str">
        <f>""</f>
        <v/>
      </c>
      <c r="I999">
        <v>225</v>
      </c>
      <c r="J999">
        <v>0</v>
      </c>
      <c r="K999" t="str">
        <f t="shared" si="107"/>
        <v>31000</v>
      </c>
      <c r="L999" t="str">
        <f t="shared" si="111"/>
        <v>0</v>
      </c>
      <c r="M999" t="str">
        <f t="shared" si="111"/>
        <v>0</v>
      </c>
      <c r="N999" t="str">
        <f t="shared" si="111"/>
        <v>0</v>
      </c>
    </row>
    <row r="1000" spans="1:14" x14ac:dyDescent="0.3">
      <c r="A1000" t="s">
        <v>17</v>
      </c>
      <c r="B1000" t="s">
        <v>18</v>
      </c>
      <c r="C1000" t="str">
        <f t="shared" si="109"/>
        <v>400</v>
      </c>
      <c r="D1000" t="str">
        <f>"614015"</f>
        <v>614015</v>
      </c>
      <c r="E1000" t="s">
        <v>19</v>
      </c>
      <c r="F1000" t="s">
        <v>973</v>
      </c>
      <c r="G1000">
        <v>250</v>
      </c>
      <c r="H1000" t="str">
        <f>""</f>
        <v/>
      </c>
      <c r="I1000">
        <v>8.5</v>
      </c>
      <c r="J1000">
        <v>0</v>
      </c>
      <c r="K1000" t="str">
        <f t="shared" si="107"/>
        <v>31000</v>
      </c>
      <c r="L1000" t="str">
        <f t="shared" si="111"/>
        <v>0</v>
      </c>
      <c r="M1000" t="str">
        <f t="shared" si="111"/>
        <v>0</v>
      </c>
      <c r="N1000" t="str">
        <f t="shared" si="111"/>
        <v>0</v>
      </c>
    </row>
    <row r="1001" spans="1:14" x14ac:dyDescent="0.3">
      <c r="A1001" t="s">
        <v>17</v>
      </c>
      <c r="B1001" t="s">
        <v>18</v>
      </c>
      <c r="C1001" t="str">
        <f t="shared" si="109"/>
        <v>400</v>
      </c>
      <c r="D1001" t="str">
        <f>"614123"</f>
        <v>614123</v>
      </c>
      <c r="E1001" t="s">
        <v>19</v>
      </c>
      <c r="F1001" t="s">
        <v>974</v>
      </c>
      <c r="G1001">
        <v>250</v>
      </c>
      <c r="H1001" t="str">
        <f>""</f>
        <v/>
      </c>
      <c r="I1001">
        <v>283.77</v>
      </c>
      <c r="J1001">
        <v>0</v>
      </c>
      <c r="K1001" t="str">
        <f t="shared" si="107"/>
        <v>31000</v>
      </c>
      <c r="L1001" t="str">
        <f t="shared" si="111"/>
        <v>0</v>
      </c>
      <c r="M1001" t="str">
        <f t="shared" si="111"/>
        <v>0</v>
      </c>
      <c r="N1001" t="str">
        <f t="shared" si="111"/>
        <v>0</v>
      </c>
    </row>
    <row r="1002" spans="1:14" x14ac:dyDescent="0.3">
      <c r="A1002" t="s">
        <v>17</v>
      </c>
      <c r="B1002" t="s">
        <v>18</v>
      </c>
      <c r="C1002" t="str">
        <f t="shared" si="109"/>
        <v>400</v>
      </c>
      <c r="D1002" t="str">
        <f>"614125"</f>
        <v>614125</v>
      </c>
      <c r="E1002" t="s">
        <v>19</v>
      </c>
      <c r="F1002" t="s">
        <v>975</v>
      </c>
      <c r="G1002">
        <v>250</v>
      </c>
      <c r="H1002" t="str">
        <f>""</f>
        <v/>
      </c>
      <c r="I1002">
        <v>2.5</v>
      </c>
      <c r="J1002">
        <v>0</v>
      </c>
      <c r="K1002" t="str">
        <f t="shared" si="107"/>
        <v>31000</v>
      </c>
      <c r="L1002" t="str">
        <f t="shared" si="111"/>
        <v>0</v>
      </c>
      <c r="M1002" t="str">
        <f t="shared" si="111"/>
        <v>0</v>
      </c>
      <c r="N1002" t="str">
        <f t="shared" si="111"/>
        <v>0</v>
      </c>
    </row>
    <row r="1003" spans="1:14" x14ac:dyDescent="0.3">
      <c r="A1003" t="s">
        <v>17</v>
      </c>
      <c r="B1003" t="s">
        <v>18</v>
      </c>
      <c r="C1003" t="str">
        <f t="shared" si="109"/>
        <v>400</v>
      </c>
      <c r="D1003" t="str">
        <f>"614145"</f>
        <v>614145</v>
      </c>
      <c r="E1003" t="s">
        <v>19</v>
      </c>
      <c r="F1003" t="s">
        <v>976</v>
      </c>
      <c r="G1003">
        <v>250</v>
      </c>
      <c r="H1003" t="str">
        <f>""</f>
        <v/>
      </c>
      <c r="I1003">
        <v>25</v>
      </c>
      <c r="J1003">
        <v>0</v>
      </c>
      <c r="K1003" t="str">
        <f t="shared" ref="K1003:K1066" si="112">"31000"</f>
        <v>31000</v>
      </c>
      <c r="L1003" t="str">
        <f t="shared" si="111"/>
        <v>0</v>
      </c>
      <c r="M1003" t="str">
        <f t="shared" si="111"/>
        <v>0</v>
      </c>
      <c r="N1003" t="str">
        <f t="shared" si="111"/>
        <v>0</v>
      </c>
    </row>
    <row r="1004" spans="1:14" x14ac:dyDescent="0.3">
      <c r="A1004" t="s">
        <v>17</v>
      </c>
      <c r="B1004" t="s">
        <v>18</v>
      </c>
      <c r="C1004" t="str">
        <f t="shared" si="109"/>
        <v>400</v>
      </c>
      <c r="D1004" t="str">
        <f>"614147"</f>
        <v>614147</v>
      </c>
      <c r="E1004" t="s">
        <v>19</v>
      </c>
      <c r="F1004" t="s">
        <v>977</v>
      </c>
      <c r="G1004">
        <v>250</v>
      </c>
      <c r="H1004" t="str">
        <f>""</f>
        <v/>
      </c>
      <c r="I1004">
        <v>36.869999999999997</v>
      </c>
      <c r="J1004">
        <v>0</v>
      </c>
      <c r="K1004" t="str">
        <f t="shared" si="112"/>
        <v>31000</v>
      </c>
      <c r="L1004" t="str">
        <f t="shared" si="111"/>
        <v>0</v>
      </c>
      <c r="M1004" t="str">
        <f t="shared" si="111"/>
        <v>0</v>
      </c>
      <c r="N1004" t="str">
        <f t="shared" si="111"/>
        <v>0</v>
      </c>
    </row>
    <row r="1005" spans="1:14" x14ac:dyDescent="0.3">
      <c r="A1005" t="s">
        <v>17</v>
      </c>
      <c r="B1005" t="s">
        <v>18</v>
      </c>
      <c r="C1005" t="str">
        <f t="shared" si="109"/>
        <v>400</v>
      </c>
      <c r="D1005" t="str">
        <f>"614173"</f>
        <v>614173</v>
      </c>
      <c r="E1005" t="s">
        <v>19</v>
      </c>
      <c r="F1005" t="s">
        <v>978</v>
      </c>
      <c r="G1005">
        <v>250</v>
      </c>
      <c r="H1005" t="str">
        <f>""</f>
        <v/>
      </c>
      <c r="I1005">
        <v>243.88</v>
      </c>
      <c r="J1005">
        <v>0</v>
      </c>
      <c r="K1005" t="str">
        <f t="shared" si="112"/>
        <v>31000</v>
      </c>
      <c r="L1005" t="str">
        <f t="shared" si="111"/>
        <v>0</v>
      </c>
      <c r="M1005" t="str">
        <f t="shared" si="111"/>
        <v>0</v>
      </c>
      <c r="N1005" t="str">
        <f t="shared" si="111"/>
        <v>0</v>
      </c>
    </row>
    <row r="1006" spans="1:14" x14ac:dyDescent="0.3">
      <c r="A1006" t="s">
        <v>17</v>
      </c>
      <c r="B1006" t="s">
        <v>18</v>
      </c>
      <c r="C1006" t="str">
        <f t="shared" si="109"/>
        <v>400</v>
      </c>
      <c r="D1006" t="str">
        <f>"614201"</f>
        <v>614201</v>
      </c>
      <c r="E1006" t="s">
        <v>19</v>
      </c>
      <c r="F1006" t="s">
        <v>979</v>
      </c>
      <c r="G1006">
        <v>250</v>
      </c>
      <c r="H1006" t="str">
        <f>""</f>
        <v/>
      </c>
      <c r="I1006">
        <v>13.5</v>
      </c>
      <c r="J1006">
        <v>0</v>
      </c>
      <c r="K1006" t="str">
        <f t="shared" si="112"/>
        <v>31000</v>
      </c>
      <c r="L1006" t="str">
        <f t="shared" si="111"/>
        <v>0</v>
      </c>
      <c r="M1006" t="str">
        <f t="shared" si="111"/>
        <v>0</v>
      </c>
      <c r="N1006" t="str">
        <f t="shared" si="111"/>
        <v>0</v>
      </c>
    </row>
    <row r="1007" spans="1:14" x14ac:dyDescent="0.3">
      <c r="A1007" t="s">
        <v>17</v>
      </c>
      <c r="B1007" t="s">
        <v>18</v>
      </c>
      <c r="C1007" t="str">
        <f t="shared" si="109"/>
        <v>400</v>
      </c>
      <c r="D1007" t="str">
        <f>"614202"</f>
        <v>614202</v>
      </c>
      <c r="E1007" t="s">
        <v>19</v>
      </c>
      <c r="F1007" t="s">
        <v>980</v>
      </c>
      <c r="G1007">
        <v>250</v>
      </c>
      <c r="I1007">
        <v>17</v>
      </c>
      <c r="J1007">
        <v>0</v>
      </c>
      <c r="K1007" t="str">
        <f t="shared" si="112"/>
        <v>31000</v>
      </c>
    </row>
    <row r="1008" spans="1:14" x14ac:dyDescent="0.3">
      <c r="A1008" t="s">
        <v>17</v>
      </c>
      <c r="B1008" t="s">
        <v>18</v>
      </c>
      <c r="C1008" t="str">
        <f t="shared" si="109"/>
        <v>400</v>
      </c>
      <c r="D1008" t="str">
        <f>"614204"</f>
        <v>614204</v>
      </c>
      <c r="E1008" t="s">
        <v>19</v>
      </c>
      <c r="F1008" t="s">
        <v>981</v>
      </c>
      <c r="G1008">
        <v>250</v>
      </c>
      <c r="H1008" t="str">
        <f>""</f>
        <v/>
      </c>
      <c r="I1008">
        <v>4.5</v>
      </c>
      <c r="J1008">
        <v>0</v>
      </c>
      <c r="K1008" t="str">
        <f t="shared" si="112"/>
        <v>31000</v>
      </c>
      <c r="L1008" t="str">
        <f t="shared" ref="L1008:N1020" si="113">"0"</f>
        <v>0</v>
      </c>
      <c r="M1008" t="str">
        <f t="shared" si="113"/>
        <v>0</v>
      </c>
      <c r="N1008" t="str">
        <f t="shared" si="113"/>
        <v>0</v>
      </c>
    </row>
    <row r="1009" spans="1:17" x14ac:dyDescent="0.3">
      <c r="A1009" t="s">
        <v>17</v>
      </c>
      <c r="B1009" t="s">
        <v>18</v>
      </c>
      <c r="C1009" t="str">
        <f t="shared" si="109"/>
        <v>400</v>
      </c>
      <c r="D1009" t="str">
        <f>"614205"</f>
        <v>614205</v>
      </c>
      <c r="E1009" t="s">
        <v>19</v>
      </c>
      <c r="F1009" t="s">
        <v>982</v>
      </c>
      <c r="G1009">
        <v>250</v>
      </c>
      <c r="H1009" t="str">
        <f>""</f>
        <v/>
      </c>
      <c r="I1009">
        <v>4.5</v>
      </c>
      <c r="J1009">
        <v>0</v>
      </c>
      <c r="K1009" t="str">
        <f t="shared" si="112"/>
        <v>31000</v>
      </c>
      <c r="L1009" t="str">
        <f t="shared" si="113"/>
        <v>0</v>
      </c>
      <c r="M1009" t="str">
        <f t="shared" si="113"/>
        <v>0</v>
      </c>
      <c r="N1009" t="str">
        <f t="shared" si="113"/>
        <v>0</v>
      </c>
    </row>
    <row r="1010" spans="1:17" x14ac:dyDescent="0.3">
      <c r="A1010" t="s">
        <v>17</v>
      </c>
      <c r="B1010" t="s">
        <v>18</v>
      </c>
      <c r="C1010" t="str">
        <f t="shared" si="109"/>
        <v>400</v>
      </c>
      <c r="D1010" t="str">
        <f>"614206"</f>
        <v>614206</v>
      </c>
      <c r="E1010" t="s">
        <v>19</v>
      </c>
      <c r="F1010" t="s">
        <v>983</v>
      </c>
      <c r="G1010">
        <v>250</v>
      </c>
      <c r="H1010" t="str">
        <f>""</f>
        <v/>
      </c>
      <c r="I1010">
        <v>4.5</v>
      </c>
      <c r="J1010">
        <v>0</v>
      </c>
      <c r="K1010" t="str">
        <f t="shared" si="112"/>
        <v>31000</v>
      </c>
      <c r="L1010" t="str">
        <f t="shared" si="113"/>
        <v>0</v>
      </c>
      <c r="M1010" t="str">
        <f t="shared" si="113"/>
        <v>0</v>
      </c>
      <c r="N1010" t="str">
        <f t="shared" si="113"/>
        <v>0</v>
      </c>
    </row>
    <row r="1011" spans="1:17" x14ac:dyDescent="0.3">
      <c r="A1011" t="s">
        <v>17</v>
      </c>
      <c r="B1011" t="s">
        <v>18</v>
      </c>
      <c r="C1011" t="str">
        <f t="shared" si="109"/>
        <v>400</v>
      </c>
      <c r="D1011" t="str">
        <f>"614213"</f>
        <v>614213</v>
      </c>
      <c r="E1011" t="s">
        <v>19</v>
      </c>
      <c r="F1011" t="s">
        <v>984</v>
      </c>
      <c r="G1011">
        <v>250</v>
      </c>
      <c r="H1011" t="str">
        <f>""</f>
        <v/>
      </c>
      <c r="I1011">
        <v>4.5</v>
      </c>
      <c r="J1011">
        <v>0</v>
      </c>
      <c r="K1011" t="str">
        <f t="shared" si="112"/>
        <v>31000</v>
      </c>
      <c r="L1011" t="str">
        <f t="shared" si="113"/>
        <v>0</v>
      </c>
      <c r="M1011" t="str">
        <f t="shared" si="113"/>
        <v>0</v>
      </c>
      <c r="N1011" t="str">
        <f t="shared" si="113"/>
        <v>0</v>
      </c>
    </row>
    <row r="1012" spans="1:17" x14ac:dyDescent="0.3">
      <c r="A1012" t="s">
        <v>17</v>
      </c>
      <c r="B1012" t="s">
        <v>18</v>
      </c>
      <c r="C1012" t="str">
        <f t="shared" si="109"/>
        <v>400</v>
      </c>
      <c r="D1012" t="str">
        <f>"614214"</f>
        <v>614214</v>
      </c>
      <c r="E1012" t="s">
        <v>19</v>
      </c>
      <c r="F1012" t="s">
        <v>985</v>
      </c>
      <c r="G1012">
        <v>250</v>
      </c>
      <c r="H1012" t="str">
        <f>""</f>
        <v/>
      </c>
      <c r="I1012">
        <v>4.5</v>
      </c>
      <c r="J1012">
        <v>0</v>
      </c>
      <c r="K1012" t="str">
        <f t="shared" si="112"/>
        <v>31000</v>
      </c>
      <c r="L1012" t="str">
        <f t="shared" si="113"/>
        <v>0</v>
      </c>
      <c r="M1012" t="str">
        <f t="shared" si="113"/>
        <v>0</v>
      </c>
      <c r="N1012" t="str">
        <f t="shared" si="113"/>
        <v>0</v>
      </c>
    </row>
    <row r="1013" spans="1:17" x14ac:dyDescent="0.3">
      <c r="A1013" t="s">
        <v>17</v>
      </c>
      <c r="B1013" t="s">
        <v>18</v>
      </c>
      <c r="C1013" t="str">
        <f t="shared" si="109"/>
        <v>400</v>
      </c>
      <c r="D1013" t="str">
        <f>"614215"</f>
        <v>614215</v>
      </c>
      <c r="E1013" t="s">
        <v>19</v>
      </c>
      <c r="F1013" t="s">
        <v>986</v>
      </c>
      <c r="G1013">
        <v>250</v>
      </c>
      <c r="H1013" t="str">
        <f>""</f>
        <v/>
      </c>
      <c r="I1013">
        <v>5</v>
      </c>
      <c r="J1013">
        <v>0</v>
      </c>
      <c r="K1013" t="str">
        <f t="shared" si="112"/>
        <v>31000</v>
      </c>
      <c r="L1013" t="str">
        <f t="shared" si="113"/>
        <v>0</v>
      </c>
      <c r="M1013" t="str">
        <f t="shared" si="113"/>
        <v>0</v>
      </c>
      <c r="N1013" t="str">
        <f t="shared" si="113"/>
        <v>0</v>
      </c>
    </row>
    <row r="1014" spans="1:17" x14ac:dyDescent="0.3">
      <c r="A1014" t="s">
        <v>17</v>
      </c>
      <c r="B1014" t="s">
        <v>18</v>
      </c>
      <c r="C1014" t="str">
        <f t="shared" si="109"/>
        <v>400</v>
      </c>
      <c r="D1014" t="str">
        <f>"614235"</f>
        <v>614235</v>
      </c>
      <c r="E1014" t="s">
        <v>19</v>
      </c>
      <c r="F1014" t="s">
        <v>987</v>
      </c>
      <c r="G1014">
        <v>250</v>
      </c>
      <c r="H1014" t="str">
        <f>""</f>
        <v/>
      </c>
      <c r="I1014">
        <v>28</v>
      </c>
      <c r="J1014">
        <v>0</v>
      </c>
      <c r="K1014" t="str">
        <f t="shared" si="112"/>
        <v>31000</v>
      </c>
      <c r="L1014" t="str">
        <f t="shared" si="113"/>
        <v>0</v>
      </c>
      <c r="M1014" t="str">
        <f t="shared" si="113"/>
        <v>0</v>
      </c>
      <c r="N1014" t="str">
        <f t="shared" si="113"/>
        <v>0</v>
      </c>
    </row>
    <row r="1015" spans="1:17" x14ac:dyDescent="0.3">
      <c r="A1015" t="s">
        <v>17</v>
      </c>
      <c r="B1015" t="s">
        <v>18</v>
      </c>
      <c r="C1015" t="str">
        <f t="shared" si="109"/>
        <v>400</v>
      </c>
      <c r="D1015" t="str">
        <f>"614236"</f>
        <v>614236</v>
      </c>
      <c r="E1015" t="s">
        <v>19</v>
      </c>
      <c r="F1015" t="s">
        <v>988</v>
      </c>
      <c r="G1015">
        <v>250</v>
      </c>
      <c r="H1015" t="str">
        <f>""</f>
        <v/>
      </c>
      <c r="I1015">
        <v>17.46</v>
      </c>
      <c r="J1015">
        <v>0</v>
      </c>
      <c r="K1015" t="str">
        <f t="shared" si="112"/>
        <v>31000</v>
      </c>
      <c r="L1015" t="str">
        <f t="shared" si="113"/>
        <v>0</v>
      </c>
      <c r="M1015" t="str">
        <f t="shared" si="113"/>
        <v>0</v>
      </c>
      <c r="N1015" t="str">
        <f t="shared" si="113"/>
        <v>0</v>
      </c>
    </row>
    <row r="1016" spans="1:17" x14ac:dyDescent="0.3">
      <c r="A1016" t="s">
        <v>17</v>
      </c>
      <c r="B1016" t="s">
        <v>18</v>
      </c>
      <c r="C1016" t="str">
        <f t="shared" si="109"/>
        <v>400</v>
      </c>
      <c r="D1016" t="str">
        <f>"614253"</f>
        <v>614253</v>
      </c>
      <c r="E1016" t="s">
        <v>19</v>
      </c>
      <c r="F1016" t="s">
        <v>989</v>
      </c>
      <c r="G1016">
        <v>250</v>
      </c>
      <c r="H1016" t="str">
        <f>""</f>
        <v/>
      </c>
      <c r="I1016">
        <v>18.5</v>
      </c>
      <c r="J1016">
        <v>0</v>
      </c>
      <c r="K1016" t="str">
        <f t="shared" si="112"/>
        <v>31000</v>
      </c>
      <c r="L1016" t="str">
        <f t="shared" si="113"/>
        <v>0</v>
      </c>
      <c r="M1016" t="str">
        <f t="shared" si="113"/>
        <v>0</v>
      </c>
      <c r="N1016" t="str">
        <f t="shared" si="113"/>
        <v>0</v>
      </c>
    </row>
    <row r="1017" spans="1:17" x14ac:dyDescent="0.3">
      <c r="A1017" t="s">
        <v>17</v>
      </c>
      <c r="B1017" t="s">
        <v>18</v>
      </c>
      <c r="C1017" t="str">
        <f t="shared" si="109"/>
        <v>400</v>
      </c>
      <c r="D1017" t="str">
        <f>"614254"</f>
        <v>614254</v>
      </c>
      <c r="E1017" t="s">
        <v>19</v>
      </c>
      <c r="F1017" t="s">
        <v>990</v>
      </c>
      <c r="G1017">
        <v>250</v>
      </c>
      <c r="H1017" t="str">
        <f>""</f>
        <v/>
      </c>
      <c r="I1017">
        <v>27.48</v>
      </c>
      <c r="J1017">
        <v>0</v>
      </c>
      <c r="K1017" t="str">
        <f t="shared" si="112"/>
        <v>31000</v>
      </c>
      <c r="L1017" t="str">
        <f t="shared" si="113"/>
        <v>0</v>
      </c>
      <c r="M1017" t="str">
        <f t="shared" si="113"/>
        <v>0</v>
      </c>
      <c r="N1017" t="str">
        <f t="shared" si="113"/>
        <v>0</v>
      </c>
    </row>
    <row r="1018" spans="1:17" x14ac:dyDescent="0.3">
      <c r="A1018" t="s">
        <v>17</v>
      </c>
      <c r="B1018" t="s">
        <v>18</v>
      </c>
      <c r="C1018" t="str">
        <f t="shared" si="109"/>
        <v>400</v>
      </c>
      <c r="D1018" t="str">
        <f>"614256"</f>
        <v>614256</v>
      </c>
      <c r="E1018" t="s">
        <v>19</v>
      </c>
      <c r="F1018" t="s">
        <v>991</v>
      </c>
      <c r="G1018">
        <v>250</v>
      </c>
      <c r="H1018" t="str">
        <f>""</f>
        <v/>
      </c>
      <c r="I1018">
        <v>42.18</v>
      </c>
      <c r="J1018">
        <v>0</v>
      </c>
      <c r="K1018" t="str">
        <f t="shared" si="112"/>
        <v>31000</v>
      </c>
      <c r="L1018" t="str">
        <f t="shared" si="113"/>
        <v>0</v>
      </c>
      <c r="M1018" t="str">
        <f t="shared" si="113"/>
        <v>0</v>
      </c>
      <c r="N1018" t="str">
        <f t="shared" si="113"/>
        <v>0</v>
      </c>
    </row>
    <row r="1019" spans="1:17" x14ac:dyDescent="0.3">
      <c r="A1019" t="s">
        <v>17</v>
      </c>
      <c r="B1019" t="s">
        <v>18</v>
      </c>
      <c r="C1019" t="str">
        <f t="shared" si="109"/>
        <v>400</v>
      </c>
      <c r="D1019" t="str">
        <f>"614258"</f>
        <v>614258</v>
      </c>
      <c r="E1019" t="s">
        <v>19</v>
      </c>
      <c r="F1019" t="s">
        <v>992</v>
      </c>
      <c r="G1019">
        <v>250</v>
      </c>
      <c r="H1019" t="str">
        <f>""</f>
        <v/>
      </c>
      <c r="I1019">
        <v>91.4</v>
      </c>
      <c r="J1019">
        <v>0</v>
      </c>
      <c r="K1019" t="str">
        <f t="shared" si="112"/>
        <v>31000</v>
      </c>
      <c r="L1019" t="str">
        <f t="shared" si="113"/>
        <v>0</v>
      </c>
      <c r="M1019" t="str">
        <f t="shared" si="113"/>
        <v>0</v>
      </c>
      <c r="N1019" t="str">
        <f t="shared" si="113"/>
        <v>0</v>
      </c>
    </row>
    <row r="1020" spans="1:17" x14ac:dyDescent="0.3">
      <c r="A1020" t="s">
        <v>17</v>
      </c>
      <c r="B1020" t="s">
        <v>18</v>
      </c>
      <c r="C1020" t="str">
        <f t="shared" si="109"/>
        <v>400</v>
      </c>
      <c r="D1020" t="str">
        <f>"614267"</f>
        <v>614267</v>
      </c>
      <c r="E1020" t="s">
        <v>19</v>
      </c>
      <c r="F1020" t="s">
        <v>993</v>
      </c>
      <c r="G1020">
        <v>250</v>
      </c>
      <c r="H1020" t="str">
        <f>""</f>
        <v/>
      </c>
      <c r="I1020">
        <v>251.04</v>
      </c>
      <c r="J1020">
        <v>0</v>
      </c>
      <c r="K1020" t="str">
        <f t="shared" si="112"/>
        <v>31000</v>
      </c>
      <c r="L1020" t="str">
        <f t="shared" si="113"/>
        <v>0</v>
      </c>
      <c r="M1020" t="str">
        <f t="shared" si="113"/>
        <v>0</v>
      </c>
      <c r="N1020" t="str">
        <f t="shared" si="113"/>
        <v>0</v>
      </c>
    </row>
    <row r="1021" spans="1:17" x14ac:dyDescent="0.3">
      <c r="A1021" t="s">
        <v>17</v>
      </c>
      <c r="B1021" t="s">
        <v>18</v>
      </c>
      <c r="C1021" t="str">
        <f t="shared" si="109"/>
        <v>400</v>
      </c>
      <c r="D1021" t="str">
        <f>"614268"</f>
        <v>614268</v>
      </c>
      <c r="E1021" t="s">
        <v>19</v>
      </c>
      <c r="F1021" t="s">
        <v>994</v>
      </c>
      <c r="G1021">
        <v>250</v>
      </c>
      <c r="I1021" s="1">
        <v>1971.69</v>
      </c>
      <c r="J1021">
        <v>0</v>
      </c>
      <c r="K1021" t="str">
        <f t="shared" si="112"/>
        <v>31000</v>
      </c>
      <c r="P1021">
        <v>659.38</v>
      </c>
      <c r="Q1021" s="2">
        <v>42603</v>
      </c>
    </row>
    <row r="1022" spans="1:17" x14ac:dyDescent="0.3">
      <c r="A1022" t="s">
        <v>17</v>
      </c>
      <c r="B1022" t="s">
        <v>18</v>
      </c>
      <c r="C1022" t="str">
        <f t="shared" si="109"/>
        <v>400</v>
      </c>
      <c r="D1022" t="str">
        <f>"614279"</f>
        <v>614279</v>
      </c>
      <c r="E1022" t="s">
        <v>19</v>
      </c>
      <c r="F1022" t="s">
        <v>995</v>
      </c>
      <c r="G1022">
        <v>250</v>
      </c>
      <c r="H1022" t="str">
        <f>""</f>
        <v/>
      </c>
      <c r="I1022">
        <v>6.72</v>
      </c>
      <c r="J1022">
        <v>0</v>
      </c>
      <c r="K1022" t="str">
        <f t="shared" si="112"/>
        <v>31000</v>
      </c>
      <c r="L1022" t="str">
        <f t="shared" ref="L1022:N1038" si="114">"0"</f>
        <v>0</v>
      </c>
      <c r="M1022" t="str">
        <f t="shared" si="114"/>
        <v>0</v>
      </c>
      <c r="N1022" t="str">
        <f t="shared" si="114"/>
        <v>0</v>
      </c>
    </row>
    <row r="1023" spans="1:17" x14ac:dyDescent="0.3">
      <c r="A1023" t="s">
        <v>17</v>
      </c>
      <c r="B1023" t="s">
        <v>18</v>
      </c>
      <c r="C1023" t="str">
        <f t="shared" si="109"/>
        <v>400</v>
      </c>
      <c r="D1023" t="str">
        <f>"614321"</f>
        <v>614321</v>
      </c>
      <c r="E1023" t="s">
        <v>19</v>
      </c>
      <c r="F1023" t="s">
        <v>996</v>
      </c>
      <c r="G1023">
        <v>250</v>
      </c>
      <c r="H1023" t="str">
        <f>""</f>
        <v/>
      </c>
      <c r="I1023">
        <v>106.68</v>
      </c>
      <c r="J1023">
        <v>0</v>
      </c>
      <c r="K1023" t="str">
        <f t="shared" si="112"/>
        <v>31000</v>
      </c>
      <c r="L1023" t="str">
        <f t="shared" si="114"/>
        <v>0</v>
      </c>
      <c r="M1023" t="str">
        <f t="shared" si="114"/>
        <v>0</v>
      </c>
      <c r="N1023" t="str">
        <f t="shared" si="114"/>
        <v>0</v>
      </c>
    </row>
    <row r="1024" spans="1:17" x14ac:dyDescent="0.3">
      <c r="A1024" t="s">
        <v>17</v>
      </c>
      <c r="B1024" t="s">
        <v>18</v>
      </c>
      <c r="C1024" t="str">
        <f t="shared" si="109"/>
        <v>400</v>
      </c>
      <c r="D1024" t="str">
        <f>"614329"</f>
        <v>614329</v>
      </c>
      <c r="E1024" t="s">
        <v>19</v>
      </c>
      <c r="F1024" t="s">
        <v>997</v>
      </c>
      <c r="G1024">
        <v>250</v>
      </c>
      <c r="H1024" t="str">
        <f>""</f>
        <v/>
      </c>
      <c r="I1024">
        <v>10.99</v>
      </c>
      <c r="J1024">
        <v>0</v>
      </c>
      <c r="K1024" t="str">
        <f t="shared" si="112"/>
        <v>31000</v>
      </c>
      <c r="L1024" t="str">
        <f t="shared" si="114"/>
        <v>0</v>
      </c>
      <c r="M1024" t="str">
        <f t="shared" si="114"/>
        <v>0</v>
      </c>
      <c r="N1024" t="str">
        <f t="shared" si="114"/>
        <v>0</v>
      </c>
    </row>
    <row r="1025" spans="1:14" x14ac:dyDescent="0.3">
      <c r="A1025" t="s">
        <v>17</v>
      </c>
      <c r="B1025" t="s">
        <v>18</v>
      </c>
      <c r="C1025" t="str">
        <f t="shared" si="109"/>
        <v>400</v>
      </c>
      <c r="D1025" t="str">
        <f>"614349"</f>
        <v>614349</v>
      </c>
      <c r="E1025" t="s">
        <v>19</v>
      </c>
      <c r="F1025" t="s">
        <v>998</v>
      </c>
      <c r="G1025">
        <v>250</v>
      </c>
      <c r="H1025" t="str">
        <f>""</f>
        <v/>
      </c>
      <c r="I1025">
        <v>168.12</v>
      </c>
      <c r="J1025">
        <v>0</v>
      </c>
      <c r="K1025" t="str">
        <f t="shared" si="112"/>
        <v>31000</v>
      </c>
      <c r="L1025" t="str">
        <f t="shared" si="114"/>
        <v>0</v>
      </c>
      <c r="M1025" t="str">
        <f t="shared" si="114"/>
        <v>0</v>
      </c>
      <c r="N1025" t="str">
        <f t="shared" si="114"/>
        <v>0</v>
      </c>
    </row>
    <row r="1026" spans="1:14" x14ac:dyDescent="0.3">
      <c r="A1026" t="s">
        <v>17</v>
      </c>
      <c r="B1026" t="s">
        <v>18</v>
      </c>
      <c r="C1026" t="str">
        <f t="shared" ref="C1026:C1089" si="115">"400"</f>
        <v>400</v>
      </c>
      <c r="D1026" t="str">
        <f>"614357"</f>
        <v>614357</v>
      </c>
      <c r="E1026" t="s">
        <v>19</v>
      </c>
      <c r="F1026" t="s">
        <v>999</v>
      </c>
      <c r="G1026">
        <v>250</v>
      </c>
      <c r="H1026" t="str">
        <f>""</f>
        <v/>
      </c>
      <c r="I1026">
        <v>315</v>
      </c>
      <c r="J1026">
        <v>0</v>
      </c>
      <c r="K1026" t="str">
        <f t="shared" si="112"/>
        <v>31000</v>
      </c>
      <c r="L1026" t="str">
        <f t="shared" si="114"/>
        <v>0</v>
      </c>
      <c r="M1026" t="str">
        <f t="shared" si="114"/>
        <v>0</v>
      </c>
      <c r="N1026" t="str">
        <f t="shared" si="114"/>
        <v>0</v>
      </c>
    </row>
    <row r="1027" spans="1:14" x14ac:dyDescent="0.3">
      <c r="A1027" t="s">
        <v>17</v>
      </c>
      <c r="B1027" t="s">
        <v>18</v>
      </c>
      <c r="C1027" t="str">
        <f t="shared" si="115"/>
        <v>400</v>
      </c>
      <c r="D1027" t="str">
        <f>"614367"</f>
        <v>614367</v>
      </c>
      <c r="E1027" t="s">
        <v>19</v>
      </c>
      <c r="F1027" t="s">
        <v>1000</v>
      </c>
      <c r="G1027">
        <v>250</v>
      </c>
      <c r="H1027" t="str">
        <f>""</f>
        <v/>
      </c>
      <c r="I1027">
        <v>15.75</v>
      </c>
      <c r="J1027">
        <v>0</v>
      </c>
      <c r="K1027" t="str">
        <f t="shared" si="112"/>
        <v>31000</v>
      </c>
      <c r="L1027" t="str">
        <f t="shared" si="114"/>
        <v>0</v>
      </c>
      <c r="M1027" t="str">
        <f t="shared" si="114"/>
        <v>0</v>
      </c>
      <c r="N1027" t="str">
        <f t="shared" si="114"/>
        <v>0</v>
      </c>
    </row>
    <row r="1028" spans="1:14" x14ac:dyDescent="0.3">
      <c r="A1028" t="s">
        <v>17</v>
      </c>
      <c r="B1028" t="s">
        <v>18</v>
      </c>
      <c r="C1028" t="str">
        <f t="shared" si="115"/>
        <v>400</v>
      </c>
      <c r="D1028" t="str">
        <f>"614398"</f>
        <v>614398</v>
      </c>
      <c r="E1028" t="s">
        <v>19</v>
      </c>
      <c r="F1028" t="s">
        <v>1001</v>
      </c>
      <c r="G1028">
        <v>250</v>
      </c>
      <c r="H1028" t="str">
        <f>""</f>
        <v/>
      </c>
      <c r="I1028">
        <v>26.85</v>
      </c>
      <c r="J1028">
        <v>0</v>
      </c>
      <c r="K1028" t="str">
        <f t="shared" si="112"/>
        <v>31000</v>
      </c>
      <c r="L1028" t="str">
        <f t="shared" si="114"/>
        <v>0</v>
      </c>
      <c r="M1028" t="str">
        <f t="shared" si="114"/>
        <v>0</v>
      </c>
      <c r="N1028" t="str">
        <f t="shared" si="114"/>
        <v>0</v>
      </c>
    </row>
    <row r="1029" spans="1:14" x14ac:dyDescent="0.3">
      <c r="A1029" t="s">
        <v>17</v>
      </c>
      <c r="B1029" t="s">
        <v>18</v>
      </c>
      <c r="C1029" t="str">
        <f t="shared" si="115"/>
        <v>400</v>
      </c>
      <c r="D1029" t="str">
        <f>"614468"</f>
        <v>614468</v>
      </c>
      <c r="E1029" t="s">
        <v>19</v>
      </c>
      <c r="F1029" t="s">
        <v>1002</v>
      </c>
      <c r="G1029">
        <v>250</v>
      </c>
      <c r="H1029" t="str">
        <f>""</f>
        <v/>
      </c>
      <c r="I1029">
        <v>38</v>
      </c>
      <c r="J1029">
        <v>0</v>
      </c>
      <c r="K1029" t="str">
        <f t="shared" si="112"/>
        <v>31000</v>
      </c>
      <c r="L1029" t="str">
        <f t="shared" si="114"/>
        <v>0</v>
      </c>
      <c r="M1029" t="str">
        <f t="shared" si="114"/>
        <v>0</v>
      </c>
      <c r="N1029" t="str">
        <f t="shared" si="114"/>
        <v>0</v>
      </c>
    </row>
    <row r="1030" spans="1:14" x14ac:dyDescent="0.3">
      <c r="A1030" t="s">
        <v>17</v>
      </c>
      <c r="B1030" t="s">
        <v>18</v>
      </c>
      <c r="C1030" t="str">
        <f t="shared" si="115"/>
        <v>400</v>
      </c>
      <c r="D1030" t="str">
        <f>"614512"</f>
        <v>614512</v>
      </c>
      <c r="E1030" t="s">
        <v>19</v>
      </c>
      <c r="F1030" t="s">
        <v>1003</v>
      </c>
      <c r="G1030">
        <v>250</v>
      </c>
      <c r="H1030" t="str">
        <f>""</f>
        <v/>
      </c>
      <c r="I1030">
        <v>30</v>
      </c>
      <c r="J1030">
        <v>0</v>
      </c>
      <c r="K1030" t="str">
        <f t="shared" si="112"/>
        <v>31000</v>
      </c>
      <c r="L1030" t="str">
        <f t="shared" si="114"/>
        <v>0</v>
      </c>
      <c r="M1030" t="str">
        <f t="shared" si="114"/>
        <v>0</v>
      </c>
      <c r="N1030" t="str">
        <f t="shared" si="114"/>
        <v>0</v>
      </c>
    </row>
    <row r="1031" spans="1:14" x14ac:dyDescent="0.3">
      <c r="A1031" t="s">
        <v>17</v>
      </c>
      <c r="B1031" t="s">
        <v>18</v>
      </c>
      <c r="C1031" t="str">
        <f t="shared" si="115"/>
        <v>400</v>
      </c>
      <c r="D1031" t="str">
        <f>"614529"</f>
        <v>614529</v>
      </c>
      <c r="E1031" t="s">
        <v>19</v>
      </c>
      <c r="F1031" t="s">
        <v>1004</v>
      </c>
      <c r="G1031">
        <v>250</v>
      </c>
      <c r="H1031" t="str">
        <f>""</f>
        <v/>
      </c>
      <c r="I1031">
        <v>7.98</v>
      </c>
      <c r="J1031">
        <v>0</v>
      </c>
      <c r="K1031" t="str">
        <f t="shared" si="112"/>
        <v>31000</v>
      </c>
      <c r="L1031" t="str">
        <f t="shared" si="114"/>
        <v>0</v>
      </c>
      <c r="M1031" t="str">
        <f t="shared" si="114"/>
        <v>0</v>
      </c>
      <c r="N1031" t="str">
        <f t="shared" si="114"/>
        <v>0</v>
      </c>
    </row>
    <row r="1032" spans="1:14" x14ac:dyDescent="0.3">
      <c r="A1032" t="s">
        <v>17</v>
      </c>
      <c r="B1032" t="s">
        <v>18</v>
      </c>
      <c r="C1032" t="str">
        <f t="shared" si="115"/>
        <v>400</v>
      </c>
      <c r="D1032" t="str">
        <f>"614563"</f>
        <v>614563</v>
      </c>
      <c r="E1032" t="s">
        <v>19</v>
      </c>
      <c r="F1032" t="s">
        <v>1005</v>
      </c>
      <c r="G1032">
        <v>250</v>
      </c>
      <c r="H1032" t="str">
        <f>""</f>
        <v/>
      </c>
      <c r="I1032">
        <v>2.5</v>
      </c>
      <c r="J1032">
        <v>0</v>
      </c>
      <c r="K1032" t="str">
        <f t="shared" si="112"/>
        <v>31000</v>
      </c>
      <c r="L1032" t="str">
        <f t="shared" si="114"/>
        <v>0</v>
      </c>
      <c r="M1032" t="str">
        <f t="shared" si="114"/>
        <v>0</v>
      </c>
      <c r="N1032" t="str">
        <f t="shared" si="114"/>
        <v>0</v>
      </c>
    </row>
    <row r="1033" spans="1:14" x14ac:dyDescent="0.3">
      <c r="A1033" t="s">
        <v>17</v>
      </c>
      <c r="B1033" t="s">
        <v>18</v>
      </c>
      <c r="C1033" t="str">
        <f t="shared" si="115"/>
        <v>400</v>
      </c>
      <c r="D1033" t="str">
        <f>"614566"</f>
        <v>614566</v>
      </c>
      <c r="E1033" t="s">
        <v>19</v>
      </c>
      <c r="F1033" t="s">
        <v>1006</v>
      </c>
      <c r="G1033">
        <v>250</v>
      </c>
      <c r="H1033" t="str">
        <f>""</f>
        <v/>
      </c>
      <c r="I1033">
        <v>2.5</v>
      </c>
      <c r="J1033">
        <v>0</v>
      </c>
      <c r="K1033" t="str">
        <f t="shared" si="112"/>
        <v>31000</v>
      </c>
      <c r="L1033" t="str">
        <f t="shared" si="114"/>
        <v>0</v>
      </c>
      <c r="M1033" t="str">
        <f t="shared" si="114"/>
        <v>0</v>
      </c>
      <c r="N1033" t="str">
        <f t="shared" si="114"/>
        <v>0</v>
      </c>
    </row>
    <row r="1034" spans="1:14" x14ac:dyDescent="0.3">
      <c r="A1034" t="s">
        <v>17</v>
      </c>
      <c r="B1034" t="s">
        <v>18</v>
      </c>
      <c r="C1034" t="str">
        <f t="shared" si="115"/>
        <v>400</v>
      </c>
      <c r="D1034" t="str">
        <f>"614569"</f>
        <v>614569</v>
      </c>
      <c r="E1034" t="s">
        <v>19</v>
      </c>
      <c r="F1034" t="s">
        <v>1007</v>
      </c>
      <c r="G1034">
        <v>250</v>
      </c>
      <c r="H1034" t="str">
        <f>""</f>
        <v/>
      </c>
      <c r="I1034">
        <v>5.95</v>
      </c>
      <c r="J1034">
        <v>0</v>
      </c>
      <c r="K1034" t="str">
        <f t="shared" si="112"/>
        <v>31000</v>
      </c>
      <c r="L1034" t="str">
        <f t="shared" si="114"/>
        <v>0</v>
      </c>
      <c r="M1034" t="str">
        <f t="shared" si="114"/>
        <v>0</v>
      </c>
      <c r="N1034" t="str">
        <f t="shared" si="114"/>
        <v>0</v>
      </c>
    </row>
    <row r="1035" spans="1:14" x14ac:dyDescent="0.3">
      <c r="A1035" t="s">
        <v>17</v>
      </c>
      <c r="B1035" t="s">
        <v>18</v>
      </c>
      <c r="C1035" t="str">
        <f t="shared" si="115"/>
        <v>400</v>
      </c>
      <c r="D1035" t="str">
        <f>"614576"</f>
        <v>614576</v>
      </c>
      <c r="E1035" t="s">
        <v>19</v>
      </c>
      <c r="F1035" t="s">
        <v>1008</v>
      </c>
      <c r="G1035">
        <v>250</v>
      </c>
      <c r="H1035" t="str">
        <f>""</f>
        <v/>
      </c>
      <c r="I1035">
        <v>5.5</v>
      </c>
      <c r="J1035">
        <v>0</v>
      </c>
      <c r="K1035" t="str">
        <f t="shared" si="112"/>
        <v>31000</v>
      </c>
      <c r="L1035" t="str">
        <f t="shared" si="114"/>
        <v>0</v>
      </c>
      <c r="M1035" t="str">
        <f t="shared" si="114"/>
        <v>0</v>
      </c>
      <c r="N1035" t="str">
        <f t="shared" si="114"/>
        <v>0</v>
      </c>
    </row>
    <row r="1036" spans="1:14" x14ac:dyDescent="0.3">
      <c r="A1036" t="s">
        <v>17</v>
      </c>
      <c r="B1036" t="s">
        <v>18</v>
      </c>
      <c r="C1036" t="str">
        <f t="shared" si="115"/>
        <v>400</v>
      </c>
      <c r="D1036" t="str">
        <f>"614577"</f>
        <v>614577</v>
      </c>
      <c r="E1036" t="s">
        <v>19</v>
      </c>
      <c r="F1036" t="s">
        <v>1009</v>
      </c>
      <c r="G1036">
        <v>250</v>
      </c>
      <c r="H1036" t="str">
        <f>""</f>
        <v/>
      </c>
      <c r="I1036">
        <v>5.5</v>
      </c>
      <c r="J1036">
        <v>0</v>
      </c>
      <c r="K1036" t="str">
        <f t="shared" si="112"/>
        <v>31000</v>
      </c>
      <c r="L1036" t="str">
        <f t="shared" si="114"/>
        <v>0</v>
      </c>
      <c r="M1036" t="str">
        <f t="shared" si="114"/>
        <v>0</v>
      </c>
      <c r="N1036" t="str">
        <f t="shared" si="114"/>
        <v>0</v>
      </c>
    </row>
    <row r="1037" spans="1:14" x14ac:dyDescent="0.3">
      <c r="A1037" t="s">
        <v>17</v>
      </c>
      <c r="B1037" t="s">
        <v>18</v>
      </c>
      <c r="C1037" t="str">
        <f t="shared" si="115"/>
        <v>400</v>
      </c>
      <c r="D1037" t="str">
        <f>"614586"</f>
        <v>614586</v>
      </c>
      <c r="E1037" t="s">
        <v>19</v>
      </c>
      <c r="F1037" t="s">
        <v>1010</v>
      </c>
      <c r="G1037">
        <v>250</v>
      </c>
      <c r="H1037" t="str">
        <f>""</f>
        <v/>
      </c>
      <c r="I1037">
        <v>8.3699999999999992</v>
      </c>
      <c r="J1037">
        <v>0</v>
      </c>
      <c r="K1037" t="str">
        <f t="shared" si="112"/>
        <v>31000</v>
      </c>
      <c r="L1037" t="str">
        <f t="shared" si="114"/>
        <v>0</v>
      </c>
      <c r="M1037" t="str">
        <f t="shared" si="114"/>
        <v>0</v>
      </c>
      <c r="N1037" t="str">
        <f t="shared" si="114"/>
        <v>0</v>
      </c>
    </row>
    <row r="1038" spans="1:14" x14ac:dyDescent="0.3">
      <c r="A1038" t="s">
        <v>17</v>
      </c>
      <c r="B1038" t="s">
        <v>18</v>
      </c>
      <c r="C1038" t="str">
        <f t="shared" si="115"/>
        <v>400</v>
      </c>
      <c r="D1038" t="str">
        <f>"614589"</f>
        <v>614589</v>
      </c>
      <c r="E1038" t="s">
        <v>19</v>
      </c>
      <c r="F1038" t="s">
        <v>1011</v>
      </c>
      <c r="G1038">
        <v>250</v>
      </c>
      <c r="H1038" t="str">
        <f>""</f>
        <v/>
      </c>
      <c r="I1038">
        <v>12.05</v>
      </c>
      <c r="J1038">
        <v>0</v>
      </c>
      <c r="K1038" t="str">
        <f t="shared" si="112"/>
        <v>31000</v>
      </c>
      <c r="L1038" t="str">
        <f t="shared" si="114"/>
        <v>0</v>
      </c>
      <c r="M1038" t="str">
        <f t="shared" si="114"/>
        <v>0</v>
      </c>
      <c r="N1038" t="str">
        <f t="shared" si="114"/>
        <v>0</v>
      </c>
    </row>
    <row r="1039" spans="1:14" x14ac:dyDescent="0.3">
      <c r="A1039" t="s">
        <v>17</v>
      </c>
      <c r="B1039" t="s">
        <v>18</v>
      </c>
      <c r="C1039" t="str">
        <f t="shared" si="115"/>
        <v>400</v>
      </c>
      <c r="D1039" t="str">
        <f>"614614"</f>
        <v>614614</v>
      </c>
      <c r="E1039" t="s">
        <v>19</v>
      </c>
      <c r="F1039" t="s">
        <v>1012</v>
      </c>
      <c r="G1039">
        <v>250</v>
      </c>
      <c r="I1039">
        <v>458.64</v>
      </c>
      <c r="J1039">
        <v>0</v>
      </c>
      <c r="K1039" t="str">
        <f t="shared" si="112"/>
        <v>31000</v>
      </c>
    </row>
    <row r="1040" spans="1:14" x14ac:dyDescent="0.3">
      <c r="A1040" t="s">
        <v>17</v>
      </c>
      <c r="B1040" t="s">
        <v>18</v>
      </c>
      <c r="C1040" t="str">
        <f t="shared" si="115"/>
        <v>400</v>
      </c>
      <c r="D1040" t="str">
        <f>"614689"</f>
        <v>614689</v>
      </c>
      <c r="E1040" t="s">
        <v>19</v>
      </c>
      <c r="F1040" t="s">
        <v>1013</v>
      </c>
      <c r="G1040">
        <v>250</v>
      </c>
      <c r="H1040" t="str">
        <f>""</f>
        <v/>
      </c>
      <c r="I1040">
        <v>58</v>
      </c>
      <c r="J1040">
        <v>0</v>
      </c>
      <c r="K1040" t="str">
        <f t="shared" si="112"/>
        <v>31000</v>
      </c>
      <c r="L1040" t="str">
        <f t="shared" ref="L1040:N1055" si="116">"0"</f>
        <v>0</v>
      </c>
      <c r="M1040" t="str">
        <f t="shared" si="116"/>
        <v>0</v>
      </c>
      <c r="N1040" t="str">
        <f t="shared" si="116"/>
        <v>0</v>
      </c>
    </row>
    <row r="1041" spans="1:14" x14ac:dyDescent="0.3">
      <c r="A1041" t="s">
        <v>17</v>
      </c>
      <c r="B1041" t="s">
        <v>18</v>
      </c>
      <c r="C1041" t="str">
        <f t="shared" si="115"/>
        <v>400</v>
      </c>
      <c r="D1041" t="str">
        <f>"614701"</f>
        <v>614701</v>
      </c>
      <c r="E1041" t="s">
        <v>19</v>
      </c>
      <c r="F1041" t="s">
        <v>1014</v>
      </c>
      <c r="G1041">
        <v>250</v>
      </c>
      <c r="H1041" t="str">
        <f>""</f>
        <v/>
      </c>
      <c r="I1041">
        <v>14.95</v>
      </c>
      <c r="J1041">
        <v>0</v>
      </c>
      <c r="K1041" t="str">
        <f t="shared" si="112"/>
        <v>31000</v>
      </c>
      <c r="L1041" t="str">
        <f t="shared" si="116"/>
        <v>0</v>
      </c>
      <c r="M1041" t="str">
        <f t="shared" si="116"/>
        <v>0</v>
      </c>
      <c r="N1041" t="str">
        <f t="shared" si="116"/>
        <v>0</v>
      </c>
    </row>
    <row r="1042" spans="1:14" x14ac:dyDescent="0.3">
      <c r="A1042" t="s">
        <v>17</v>
      </c>
      <c r="B1042" t="s">
        <v>18</v>
      </c>
      <c r="C1042" t="str">
        <f t="shared" si="115"/>
        <v>400</v>
      </c>
      <c r="D1042" t="str">
        <f>"614705"</f>
        <v>614705</v>
      </c>
      <c r="E1042" t="s">
        <v>19</v>
      </c>
      <c r="F1042" t="s">
        <v>1015</v>
      </c>
      <c r="G1042">
        <v>250</v>
      </c>
      <c r="H1042" t="str">
        <f>""</f>
        <v/>
      </c>
      <c r="I1042">
        <v>25</v>
      </c>
      <c r="J1042">
        <v>0</v>
      </c>
      <c r="K1042" t="str">
        <f t="shared" si="112"/>
        <v>31000</v>
      </c>
      <c r="L1042" t="str">
        <f t="shared" si="116"/>
        <v>0</v>
      </c>
      <c r="M1042" t="str">
        <f t="shared" si="116"/>
        <v>0</v>
      </c>
      <c r="N1042" t="str">
        <f t="shared" si="116"/>
        <v>0</v>
      </c>
    </row>
    <row r="1043" spans="1:14" x14ac:dyDescent="0.3">
      <c r="A1043" t="s">
        <v>17</v>
      </c>
      <c r="B1043" t="s">
        <v>18</v>
      </c>
      <c r="C1043" t="str">
        <f t="shared" si="115"/>
        <v>400</v>
      </c>
      <c r="D1043" t="str">
        <f>"614753"</f>
        <v>614753</v>
      </c>
      <c r="E1043" t="s">
        <v>19</v>
      </c>
      <c r="F1043" t="s">
        <v>1016</v>
      </c>
      <c r="G1043">
        <v>250</v>
      </c>
      <c r="H1043" t="str">
        <f>""</f>
        <v/>
      </c>
      <c r="I1043">
        <v>4.99</v>
      </c>
      <c r="J1043">
        <v>0</v>
      </c>
      <c r="K1043" t="str">
        <f t="shared" si="112"/>
        <v>31000</v>
      </c>
      <c r="L1043" t="str">
        <f t="shared" si="116"/>
        <v>0</v>
      </c>
      <c r="M1043" t="str">
        <f t="shared" si="116"/>
        <v>0</v>
      </c>
      <c r="N1043" t="str">
        <f t="shared" si="116"/>
        <v>0</v>
      </c>
    </row>
    <row r="1044" spans="1:14" x14ac:dyDescent="0.3">
      <c r="A1044" t="s">
        <v>17</v>
      </c>
      <c r="B1044" t="s">
        <v>18</v>
      </c>
      <c r="C1044" t="str">
        <f t="shared" si="115"/>
        <v>400</v>
      </c>
      <c r="D1044" t="str">
        <f>"614785"</f>
        <v>614785</v>
      </c>
      <c r="E1044" t="s">
        <v>19</v>
      </c>
      <c r="F1044" t="s">
        <v>1017</v>
      </c>
      <c r="G1044">
        <v>250</v>
      </c>
      <c r="H1044" t="str">
        <f>""</f>
        <v/>
      </c>
      <c r="I1044">
        <v>4.5</v>
      </c>
      <c r="J1044">
        <v>0</v>
      </c>
      <c r="K1044" t="str">
        <f t="shared" si="112"/>
        <v>31000</v>
      </c>
      <c r="L1044" t="str">
        <f t="shared" si="116"/>
        <v>0</v>
      </c>
      <c r="M1044" t="str">
        <f t="shared" si="116"/>
        <v>0</v>
      </c>
      <c r="N1044" t="str">
        <f t="shared" si="116"/>
        <v>0</v>
      </c>
    </row>
    <row r="1045" spans="1:14" x14ac:dyDescent="0.3">
      <c r="A1045" t="s">
        <v>17</v>
      </c>
      <c r="B1045" t="s">
        <v>18</v>
      </c>
      <c r="C1045" t="str">
        <f t="shared" si="115"/>
        <v>400</v>
      </c>
      <c r="D1045" t="str">
        <f>"614789"</f>
        <v>614789</v>
      </c>
      <c r="E1045" t="s">
        <v>19</v>
      </c>
      <c r="F1045" t="s">
        <v>1018</v>
      </c>
      <c r="G1045">
        <v>250</v>
      </c>
      <c r="H1045" t="str">
        <f>""</f>
        <v/>
      </c>
      <c r="I1045">
        <v>60</v>
      </c>
      <c r="J1045">
        <v>0</v>
      </c>
      <c r="K1045" t="str">
        <f t="shared" si="112"/>
        <v>31000</v>
      </c>
      <c r="L1045" t="str">
        <f t="shared" si="116"/>
        <v>0</v>
      </c>
      <c r="M1045" t="str">
        <f t="shared" si="116"/>
        <v>0</v>
      </c>
      <c r="N1045" t="str">
        <f t="shared" si="116"/>
        <v>0</v>
      </c>
    </row>
    <row r="1046" spans="1:14" x14ac:dyDescent="0.3">
      <c r="A1046" t="s">
        <v>17</v>
      </c>
      <c r="B1046" t="s">
        <v>18</v>
      </c>
      <c r="C1046" t="str">
        <f t="shared" si="115"/>
        <v>400</v>
      </c>
      <c r="D1046" t="str">
        <f>"614793"</f>
        <v>614793</v>
      </c>
      <c r="E1046" t="s">
        <v>19</v>
      </c>
      <c r="F1046" t="s">
        <v>1019</v>
      </c>
      <c r="G1046">
        <v>250</v>
      </c>
      <c r="H1046" t="str">
        <f>""</f>
        <v/>
      </c>
      <c r="I1046">
        <v>27.48</v>
      </c>
      <c r="J1046">
        <v>0</v>
      </c>
      <c r="K1046" t="str">
        <f t="shared" si="112"/>
        <v>31000</v>
      </c>
      <c r="L1046" t="str">
        <f t="shared" si="116"/>
        <v>0</v>
      </c>
      <c r="M1046" t="str">
        <f t="shared" si="116"/>
        <v>0</v>
      </c>
      <c r="N1046" t="str">
        <f t="shared" si="116"/>
        <v>0</v>
      </c>
    </row>
    <row r="1047" spans="1:14" x14ac:dyDescent="0.3">
      <c r="A1047" t="s">
        <v>17</v>
      </c>
      <c r="B1047" t="s">
        <v>18</v>
      </c>
      <c r="C1047" t="str">
        <f t="shared" si="115"/>
        <v>400</v>
      </c>
      <c r="D1047" t="str">
        <f>"614829"</f>
        <v>614829</v>
      </c>
      <c r="E1047" t="s">
        <v>19</v>
      </c>
      <c r="F1047" t="s">
        <v>1020</v>
      </c>
      <c r="G1047">
        <v>250</v>
      </c>
      <c r="H1047" t="str">
        <f>""</f>
        <v/>
      </c>
      <c r="I1047">
        <v>19</v>
      </c>
      <c r="J1047">
        <v>0</v>
      </c>
      <c r="K1047" t="str">
        <f t="shared" si="112"/>
        <v>31000</v>
      </c>
      <c r="L1047" t="str">
        <f t="shared" si="116"/>
        <v>0</v>
      </c>
      <c r="M1047" t="str">
        <f t="shared" si="116"/>
        <v>0</v>
      </c>
      <c r="N1047" t="str">
        <f t="shared" si="116"/>
        <v>0</v>
      </c>
    </row>
    <row r="1048" spans="1:14" x14ac:dyDescent="0.3">
      <c r="A1048" t="s">
        <v>17</v>
      </c>
      <c r="B1048" t="s">
        <v>18</v>
      </c>
      <c r="C1048" t="str">
        <f t="shared" si="115"/>
        <v>400</v>
      </c>
      <c r="D1048" t="str">
        <f>"614852"</f>
        <v>614852</v>
      </c>
      <c r="E1048" t="s">
        <v>19</v>
      </c>
      <c r="F1048" t="s">
        <v>1021</v>
      </c>
      <c r="G1048">
        <v>250</v>
      </c>
      <c r="H1048" t="str">
        <f>""</f>
        <v/>
      </c>
      <c r="I1048">
        <v>13.99</v>
      </c>
      <c r="J1048">
        <v>0</v>
      </c>
      <c r="K1048" t="str">
        <f t="shared" si="112"/>
        <v>31000</v>
      </c>
      <c r="L1048" t="str">
        <f t="shared" si="116"/>
        <v>0</v>
      </c>
      <c r="M1048" t="str">
        <f t="shared" si="116"/>
        <v>0</v>
      </c>
      <c r="N1048" t="str">
        <f t="shared" si="116"/>
        <v>0</v>
      </c>
    </row>
    <row r="1049" spans="1:14" x14ac:dyDescent="0.3">
      <c r="A1049" t="s">
        <v>17</v>
      </c>
      <c r="B1049" t="s">
        <v>18</v>
      </c>
      <c r="C1049" t="str">
        <f t="shared" si="115"/>
        <v>400</v>
      </c>
      <c r="D1049" t="str">
        <f>"614853"</f>
        <v>614853</v>
      </c>
      <c r="E1049" t="s">
        <v>19</v>
      </c>
      <c r="F1049" t="s">
        <v>1022</v>
      </c>
      <c r="G1049">
        <v>250</v>
      </c>
      <c r="H1049" t="str">
        <f>""</f>
        <v/>
      </c>
      <c r="I1049">
        <v>17.100000000000001</v>
      </c>
      <c r="J1049">
        <v>0</v>
      </c>
      <c r="K1049" t="str">
        <f t="shared" si="112"/>
        <v>31000</v>
      </c>
      <c r="L1049" t="str">
        <f t="shared" si="116"/>
        <v>0</v>
      </c>
      <c r="M1049" t="str">
        <f t="shared" si="116"/>
        <v>0</v>
      </c>
      <c r="N1049" t="str">
        <f t="shared" si="116"/>
        <v>0</v>
      </c>
    </row>
    <row r="1050" spans="1:14" x14ac:dyDescent="0.3">
      <c r="A1050" t="s">
        <v>17</v>
      </c>
      <c r="B1050" t="s">
        <v>18</v>
      </c>
      <c r="C1050" t="str">
        <f t="shared" si="115"/>
        <v>400</v>
      </c>
      <c r="D1050" t="str">
        <f>"614854"</f>
        <v>614854</v>
      </c>
      <c r="E1050" t="s">
        <v>19</v>
      </c>
      <c r="F1050" t="s">
        <v>1023</v>
      </c>
      <c r="G1050">
        <v>250</v>
      </c>
      <c r="H1050" t="str">
        <f>""</f>
        <v/>
      </c>
      <c r="I1050">
        <v>5.5</v>
      </c>
      <c r="J1050">
        <v>0</v>
      </c>
      <c r="K1050" t="str">
        <f t="shared" si="112"/>
        <v>31000</v>
      </c>
      <c r="L1050" t="str">
        <f t="shared" si="116"/>
        <v>0</v>
      </c>
      <c r="M1050" t="str">
        <f t="shared" si="116"/>
        <v>0</v>
      </c>
      <c r="N1050" t="str">
        <f t="shared" si="116"/>
        <v>0</v>
      </c>
    </row>
    <row r="1051" spans="1:14" x14ac:dyDescent="0.3">
      <c r="A1051" t="s">
        <v>17</v>
      </c>
      <c r="B1051" t="s">
        <v>18</v>
      </c>
      <c r="C1051" t="str">
        <f t="shared" si="115"/>
        <v>400</v>
      </c>
      <c r="D1051" t="str">
        <f>"614874"</f>
        <v>614874</v>
      </c>
      <c r="E1051" t="s">
        <v>19</v>
      </c>
      <c r="F1051" t="s">
        <v>1024</v>
      </c>
      <c r="G1051">
        <v>250</v>
      </c>
      <c r="H1051" t="str">
        <f>""</f>
        <v/>
      </c>
      <c r="I1051">
        <v>8.9</v>
      </c>
      <c r="J1051">
        <v>0</v>
      </c>
      <c r="K1051" t="str">
        <f t="shared" si="112"/>
        <v>31000</v>
      </c>
      <c r="L1051" t="str">
        <f t="shared" si="116"/>
        <v>0</v>
      </c>
      <c r="M1051" t="str">
        <f t="shared" si="116"/>
        <v>0</v>
      </c>
      <c r="N1051" t="str">
        <f t="shared" si="116"/>
        <v>0</v>
      </c>
    </row>
    <row r="1052" spans="1:14" x14ac:dyDescent="0.3">
      <c r="A1052" t="s">
        <v>17</v>
      </c>
      <c r="B1052" t="s">
        <v>18</v>
      </c>
      <c r="C1052" t="str">
        <f t="shared" si="115"/>
        <v>400</v>
      </c>
      <c r="D1052" t="str">
        <f>"614879"</f>
        <v>614879</v>
      </c>
      <c r="E1052" t="s">
        <v>19</v>
      </c>
      <c r="F1052" t="s">
        <v>1025</v>
      </c>
      <c r="G1052">
        <v>250</v>
      </c>
      <c r="H1052" t="str">
        <f>""</f>
        <v/>
      </c>
      <c r="I1052">
        <v>8.5</v>
      </c>
      <c r="J1052">
        <v>0</v>
      </c>
      <c r="K1052" t="str">
        <f t="shared" si="112"/>
        <v>31000</v>
      </c>
      <c r="L1052" t="str">
        <f t="shared" si="116"/>
        <v>0</v>
      </c>
      <c r="M1052" t="str">
        <f t="shared" si="116"/>
        <v>0</v>
      </c>
      <c r="N1052" t="str">
        <f t="shared" si="116"/>
        <v>0</v>
      </c>
    </row>
    <row r="1053" spans="1:14" x14ac:dyDescent="0.3">
      <c r="A1053" t="s">
        <v>17</v>
      </c>
      <c r="B1053" t="s">
        <v>18</v>
      </c>
      <c r="C1053" t="str">
        <f t="shared" si="115"/>
        <v>400</v>
      </c>
      <c r="D1053" t="str">
        <f>"614889"</f>
        <v>614889</v>
      </c>
      <c r="E1053" t="s">
        <v>19</v>
      </c>
      <c r="F1053" t="s">
        <v>1026</v>
      </c>
      <c r="G1053">
        <v>250</v>
      </c>
      <c r="H1053" t="str">
        <f>""</f>
        <v/>
      </c>
      <c r="I1053">
        <v>4.5</v>
      </c>
      <c r="J1053">
        <v>0</v>
      </c>
      <c r="K1053" t="str">
        <f t="shared" si="112"/>
        <v>31000</v>
      </c>
      <c r="L1053" t="str">
        <f t="shared" si="116"/>
        <v>0</v>
      </c>
      <c r="M1053" t="str">
        <f t="shared" si="116"/>
        <v>0</v>
      </c>
      <c r="N1053" t="str">
        <f t="shared" si="116"/>
        <v>0</v>
      </c>
    </row>
    <row r="1054" spans="1:14" x14ac:dyDescent="0.3">
      <c r="A1054" t="s">
        <v>17</v>
      </c>
      <c r="B1054" t="s">
        <v>18</v>
      </c>
      <c r="C1054" t="str">
        <f t="shared" si="115"/>
        <v>400</v>
      </c>
      <c r="D1054" t="str">
        <f>"614896"</f>
        <v>614896</v>
      </c>
      <c r="E1054" t="s">
        <v>19</v>
      </c>
      <c r="F1054" t="s">
        <v>1027</v>
      </c>
      <c r="G1054">
        <v>250</v>
      </c>
      <c r="H1054" t="str">
        <f>""</f>
        <v/>
      </c>
      <c r="I1054">
        <v>4.5</v>
      </c>
      <c r="J1054">
        <v>0</v>
      </c>
      <c r="K1054" t="str">
        <f t="shared" si="112"/>
        <v>31000</v>
      </c>
      <c r="L1054" t="str">
        <f t="shared" si="116"/>
        <v>0</v>
      </c>
      <c r="M1054" t="str">
        <f t="shared" si="116"/>
        <v>0</v>
      </c>
      <c r="N1054" t="str">
        <f t="shared" si="116"/>
        <v>0</v>
      </c>
    </row>
    <row r="1055" spans="1:14" x14ac:dyDescent="0.3">
      <c r="A1055" t="s">
        <v>17</v>
      </c>
      <c r="B1055" t="s">
        <v>18</v>
      </c>
      <c r="C1055" t="str">
        <f t="shared" si="115"/>
        <v>400</v>
      </c>
      <c r="D1055" t="str">
        <f>"614958"</f>
        <v>614958</v>
      </c>
      <c r="E1055" t="s">
        <v>19</v>
      </c>
      <c r="F1055" t="s">
        <v>1028</v>
      </c>
      <c r="G1055">
        <v>250</v>
      </c>
      <c r="H1055" t="str">
        <f>""</f>
        <v/>
      </c>
      <c r="I1055">
        <v>18.73</v>
      </c>
      <c r="J1055">
        <v>0</v>
      </c>
      <c r="K1055" t="str">
        <f t="shared" si="112"/>
        <v>31000</v>
      </c>
      <c r="L1055" t="str">
        <f t="shared" si="116"/>
        <v>0</v>
      </c>
      <c r="M1055" t="str">
        <f t="shared" si="116"/>
        <v>0</v>
      </c>
      <c r="N1055" t="str">
        <f t="shared" si="116"/>
        <v>0</v>
      </c>
    </row>
    <row r="1056" spans="1:14" x14ac:dyDescent="0.3">
      <c r="A1056" t="s">
        <v>17</v>
      </c>
      <c r="B1056" t="s">
        <v>18</v>
      </c>
      <c r="C1056" t="str">
        <f t="shared" si="115"/>
        <v>400</v>
      </c>
      <c r="D1056" t="str">
        <f>"615000"</f>
        <v>615000</v>
      </c>
      <c r="E1056" t="s">
        <v>19</v>
      </c>
      <c r="F1056" t="s">
        <v>1029</v>
      </c>
      <c r="G1056">
        <v>250</v>
      </c>
      <c r="I1056">
        <v>2.5</v>
      </c>
      <c r="J1056">
        <v>0</v>
      </c>
      <c r="K1056" t="str">
        <f t="shared" si="112"/>
        <v>31000</v>
      </c>
    </row>
    <row r="1057" spans="1:14" x14ac:dyDescent="0.3">
      <c r="A1057" t="s">
        <v>17</v>
      </c>
      <c r="B1057" t="s">
        <v>18</v>
      </c>
      <c r="C1057" t="str">
        <f t="shared" si="115"/>
        <v>400</v>
      </c>
      <c r="D1057" t="str">
        <f>"615015"</f>
        <v>615015</v>
      </c>
      <c r="E1057" t="s">
        <v>19</v>
      </c>
      <c r="F1057" t="s">
        <v>1030</v>
      </c>
      <c r="G1057">
        <v>250</v>
      </c>
      <c r="H1057" t="str">
        <f>""</f>
        <v/>
      </c>
      <c r="I1057">
        <v>5.8</v>
      </c>
      <c r="J1057">
        <v>0</v>
      </c>
      <c r="K1057" t="str">
        <f t="shared" si="112"/>
        <v>31000</v>
      </c>
      <c r="L1057" t="str">
        <f t="shared" ref="L1057:N1076" si="117">"0"</f>
        <v>0</v>
      </c>
      <c r="M1057" t="str">
        <f t="shared" si="117"/>
        <v>0</v>
      </c>
      <c r="N1057" t="str">
        <f t="shared" si="117"/>
        <v>0</v>
      </c>
    </row>
    <row r="1058" spans="1:14" x14ac:dyDescent="0.3">
      <c r="A1058" t="s">
        <v>17</v>
      </c>
      <c r="B1058" t="s">
        <v>18</v>
      </c>
      <c r="C1058" t="str">
        <f t="shared" si="115"/>
        <v>400</v>
      </c>
      <c r="D1058" t="str">
        <f>"615123"</f>
        <v>615123</v>
      </c>
      <c r="E1058" t="s">
        <v>19</v>
      </c>
      <c r="F1058" t="s">
        <v>1031</v>
      </c>
      <c r="G1058">
        <v>250</v>
      </c>
      <c r="H1058" t="str">
        <f>""</f>
        <v/>
      </c>
      <c r="I1058">
        <v>5.2</v>
      </c>
      <c r="J1058">
        <v>0</v>
      </c>
      <c r="K1058" t="str">
        <f t="shared" si="112"/>
        <v>31000</v>
      </c>
      <c r="L1058" t="str">
        <f t="shared" si="117"/>
        <v>0</v>
      </c>
      <c r="M1058" t="str">
        <f t="shared" si="117"/>
        <v>0</v>
      </c>
      <c r="N1058" t="str">
        <f t="shared" si="117"/>
        <v>0</v>
      </c>
    </row>
    <row r="1059" spans="1:14" x14ac:dyDescent="0.3">
      <c r="A1059" t="s">
        <v>17</v>
      </c>
      <c r="B1059" t="s">
        <v>18</v>
      </c>
      <c r="C1059" t="str">
        <f t="shared" si="115"/>
        <v>400</v>
      </c>
      <c r="D1059" t="str">
        <f>"615124"</f>
        <v>615124</v>
      </c>
      <c r="E1059" t="s">
        <v>19</v>
      </c>
      <c r="F1059" t="s">
        <v>1032</v>
      </c>
      <c r="G1059">
        <v>250</v>
      </c>
      <c r="H1059" t="str">
        <f>""</f>
        <v/>
      </c>
      <c r="I1059">
        <v>2.5</v>
      </c>
      <c r="J1059">
        <v>0</v>
      </c>
      <c r="K1059" t="str">
        <f t="shared" si="112"/>
        <v>31000</v>
      </c>
      <c r="L1059" t="str">
        <f t="shared" si="117"/>
        <v>0</v>
      </c>
      <c r="M1059" t="str">
        <f t="shared" si="117"/>
        <v>0</v>
      </c>
      <c r="N1059" t="str">
        <f t="shared" si="117"/>
        <v>0</v>
      </c>
    </row>
    <row r="1060" spans="1:14" x14ac:dyDescent="0.3">
      <c r="A1060" t="s">
        <v>17</v>
      </c>
      <c r="B1060" t="s">
        <v>18</v>
      </c>
      <c r="C1060" t="str">
        <f t="shared" si="115"/>
        <v>400</v>
      </c>
      <c r="D1060" t="str">
        <f>"615125"</f>
        <v>615125</v>
      </c>
      <c r="E1060" t="s">
        <v>19</v>
      </c>
      <c r="F1060" t="s">
        <v>1033</v>
      </c>
      <c r="G1060">
        <v>250</v>
      </c>
      <c r="H1060" t="str">
        <f>""</f>
        <v/>
      </c>
      <c r="I1060">
        <v>7.15</v>
      </c>
      <c r="J1060">
        <v>0</v>
      </c>
      <c r="K1060" t="str">
        <f t="shared" si="112"/>
        <v>31000</v>
      </c>
      <c r="L1060" t="str">
        <f t="shared" si="117"/>
        <v>0</v>
      </c>
      <c r="M1060" t="str">
        <f t="shared" si="117"/>
        <v>0</v>
      </c>
      <c r="N1060" t="str">
        <f t="shared" si="117"/>
        <v>0</v>
      </c>
    </row>
    <row r="1061" spans="1:14" x14ac:dyDescent="0.3">
      <c r="A1061" t="s">
        <v>17</v>
      </c>
      <c r="B1061" t="s">
        <v>18</v>
      </c>
      <c r="C1061" t="str">
        <f t="shared" si="115"/>
        <v>400</v>
      </c>
      <c r="D1061" t="str">
        <f>"615126"</f>
        <v>615126</v>
      </c>
      <c r="E1061" t="s">
        <v>19</v>
      </c>
      <c r="F1061" t="s">
        <v>1034</v>
      </c>
      <c r="G1061">
        <v>250</v>
      </c>
      <c r="H1061" t="str">
        <f>""</f>
        <v/>
      </c>
      <c r="I1061">
        <v>44.43</v>
      </c>
      <c r="J1061">
        <v>0</v>
      </c>
      <c r="K1061" t="str">
        <f t="shared" si="112"/>
        <v>31000</v>
      </c>
      <c r="L1061" t="str">
        <f t="shared" si="117"/>
        <v>0</v>
      </c>
      <c r="M1061" t="str">
        <f t="shared" si="117"/>
        <v>0</v>
      </c>
      <c r="N1061" t="str">
        <f t="shared" si="117"/>
        <v>0</v>
      </c>
    </row>
    <row r="1062" spans="1:14" x14ac:dyDescent="0.3">
      <c r="A1062" t="s">
        <v>17</v>
      </c>
      <c r="B1062" t="s">
        <v>18</v>
      </c>
      <c r="C1062" t="str">
        <f t="shared" si="115"/>
        <v>400</v>
      </c>
      <c r="D1062" t="str">
        <f>"615148"</f>
        <v>615148</v>
      </c>
      <c r="E1062" t="s">
        <v>19</v>
      </c>
      <c r="F1062" t="s">
        <v>1035</v>
      </c>
      <c r="G1062">
        <v>250</v>
      </c>
      <c r="H1062" t="str">
        <f>""</f>
        <v/>
      </c>
      <c r="I1062">
        <v>32</v>
      </c>
      <c r="J1062">
        <v>0</v>
      </c>
      <c r="K1062" t="str">
        <f t="shared" si="112"/>
        <v>31000</v>
      </c>
      <c r="L1062" t="str">
        <f t="shared" si="117"/>
        <v>0</v>
      </c>
      <c r="M1062" t="str">
        <f t="shared" si="117"/>
        <v>0</v>
      </c>
      <c r="N1062" t="str">
        <f t="shared" si="117"/>
        <v>0</v>
      </c>
    </row>
    <row r="1063" spans="1:14" x14ac:dyDescent="0.3">
      <c r="A1063" t="s">
        <v>17</v>
      </c>
      <c r="B1063" t="s">
        <v>18</v>
      </c>
      <c r="C1063" t="str">
        <f t="shared" si="115"/>
        <v>400</v>
      </c>
      <c r="D1063" t="str">
        <f>"615204"</f>
        <v>615204</v>
      </c>
      <c r="E1063" t="s">
        <v>19</v>
      </c>
      <c r="F1063" t="s">
        <v>1036</v>
      </c>
      <c r="G1063">
        <v>250</v>
      </c>
      <c r="H1063" t="str">
        <f>""</f>
        <v/>
      </c>
      <c r="I1063">
        <v>4.5</v>
      </c>
      <c r="J1063">
        <v>0</v>
      </c>
      <c r="K1063" t="str">
        <f t="shared" si="112"/>
        <v>31000</v>
      </c>
      <c r="L1063" t="str">
        <f t="shared" si="117"/>
        <v>0</v>
      </c>
      <c r="M1063" t="str">
        <f t="shared" si="117"/>
        <v>0</v>
      </c>
      <c r="N1063" t="str">
        <f t="shared" si="117"/>
        <v>0</v>
      </c>
    </row>
    <row r="1064" spans="1:14" x14ac:dyDescent="0.3">
      <c r="A1064" t="s">
        <v>17</v>
      </c>
      <c r="B1064" t="s">
        <v>18</v>
      </c>
      <c r="C1064" t="str">
        <f t="shared" si="115"/>
        <v>400</v>
      </c>
      <c r="D1064" t="str">
        <f>"615213"</f>
        <v>615213</v>
      </c>
      <c r="E1064" t="s">
        <v>19</v>
      </c>
      <c r="F1064" t="s">
        <v>1037</v>
      </c>
      <c r="G1064">
        <v>250</v>
      </c>
      <c r="H1064" t="str">
        <f>""</f>
        <v/>
      </c>
      <c r="I1064">
        <v>2.5</v>
      </c>
      <c r="J1064">
        <v>0</v>
      </c>
      <c r="K1064" t="str">
        <f t="shared" si="112"/>
        <v>31000</v>
      </c>
      <c r="L1064" t="str">
        <f t="shared" si="117"/>
        <v>0</v>
      </c>
      <c r="M1064" t="str">
        <f t="shared" si="117"/>
        <v>0</v>
      </c>
      <c r="N1064" t="str">
        <f t="shared" si="117"/>
        <v>0</v>
      </c>
    </row>
    <row r="1065" spans="1:14" x14ac:dyDescent="0.3">
      <c r="A1065" t="s">
        <v>17</v>
      </c>
      <c r="B1065" t="s">
        <v>18</v>
      </c>
      <c r="C1065" t="str">
        <f t="shared" si="115"/>
        <v>400</v>
      </c>
      <c r="D1065" t="str">
        <f>"615214"</f>
        <v>615214</v>
      </c>
      <c r="E1065" t="s">
        <v>19</v>
      </c>
      <c r="F1065" t="s">
        <v>1038</v>
      </c>
      <c r="G1065">
        <v>250</v>
      </c>
      <c r="H1065" t="str">
        <f>""</f>
        <v/>
      </c>
      <c r="I1065">
        <v>4.5</v>
      </c>
      <c r="J1065">
        <v>0</v>
      </c>
      <c r="K1065" t="str">
        <f t="shared" si="112"/>
        <v>31000</v>
      </c>
      <c r="L1065" t="str">
        <f t="shared" si="117"/>
        <v>0</v>
      </c>
      <c r="M1065" t="str">
        <f t="shared" si="117"/>
        <v>0</v>
      </c>
      <c r="N1065" t="str">
        <f t="shared" si="117"/>
        <v>0</v>
      </c>
    </row>
    <row r="1066" spans="1:14" x14ac:dyDescent="0.3">
      <c r="A1066" t="s">
        <v>17</v>
      </c>
      <c r="B1066" t="s">
        <v>18</v>
      </c>
      <c r="C1066" t="str">
        <f t="shared" si="115"/>
        <v>400</v>
      </c>
      <c r="D1066" t="str">
        <f>"615238"</f>
        <v>615238</v>
      </c>
      <c r="E1066" t="s">
        <v>19</v>
      </c>
      <c r="F1066" t="s">
        <v>1039</v>
      </c>
      <c r="G1066">
        <v>250</v>
      </c>
      <c r="H1066" t="str">
        <f>""</f>
        <v/>
      </c>
      <c r="I1066">
        <v>4.5</v>
      </c>
      <c r="J1066">
        <v>0</v>
      </c>
      <c r="K1066" t="str">
        <f t="shared" si="112"/>
        <v>31000</v>
      </c>
      <c r="L1066" t="str">
        <f t="shared" si="117"/>
        <v>0</v>
      </c>
      <c r="M1066" t="str">
        <f t="shared" si="117"/>
        <v>0</v>
      </c>
      <c r="N1066" t="str">
        <f t="shared" si="117"/>
        <v>0</v>
      </c>
    </row>
    <row r="1067" spans="1:14" x14ac:dyDescent="0.3">
      <c r="A1067" t="s">
        <v>17</v>
      </c>
      <c r="B1067" t="s">
        <v>18</v>
      </c>
      <c r="C1067" t="str">
        <f t="shared" si="115"/>
        <v>400</v>
      </c>
      <c r="D1067" t="str">
        <f>"615246"</f>
        <v>615246</v>
      </c>
      <c r="E1067" t="s">
        <v>19</v>
      </c>
      <c r="F1067" t="s">
        <v>1040</v>
      </c>
      <c r="G1067">
        <v>250</v>
      </c>
      <c r="H1067" t="str">
        <f>""</f>
        <v/>
      </c>
      <c r="I1067">
        <v>24</v>
      </c>
      <c r="J1067">
        <v>0</v>
      </c>
      <c r="K1067" t="str">
        <f t="shared" ref="K1067:K1130" si="118">"31000"</f>
        <v>31000</v>
      </c>
      <c r="L1067" t="str">
        <f t="shared" si="117"/>
        <v>0</v>
      </c>
      <c r="M1067" t="str">
        <f t="shared" si="117"/>
        <v>0</v>
      </c>
      <c r="N1067" t="str">
        <f t="shared" si="117"/>
        <v>0</v>
      </c>
    </row>
    <row r="1068" spans="1:14" x14ac:dyDescent="0.3">
      <c r="A1068" t="s">
        <v>17</v>
      </c>
      <c r="B1068" t="s">
        <v>18</v>
      </c>
      <c r="C1068" t="str">
        <f t="shared" si="115"/>
        <v>400</v>
      </c>
      <c r="D1068" t="str">
        <f>"615247"</f>
        <v>615247</v>
      </c>
      <c r="E1068" t="s">
        <v>19</v>
      </c>
      <c r="F1068" t="s">
        <v>1041</v>
      </c>
      <c r="G1068">
        <v>250</v>
      </c>
      <c r="H1068" t="str">
        <f>""</f>
        <v/>
      </c>
      <c r="I1068">
        <v>2.5</v>
      </c>
      <c r="J1068">
        <v>0</v>
      </c>
      <c r="K1068" t="str">
        <f t="shared" si="118"/>
        <v>31000</v>
      </c>
      <c r="L1068" t="str">
        <f t="shared" si="117"/>
        <v>0</v>
      </c>
      <c r="M1068" t="str">
        <f t="shared" si="117"/>
        <v>0</v>
      </c>
      <c r="N1068" t="str">
        <f t="shared" si="117"/>
        <v>0</v>
      </c>
    </row>
    <row r="1069" spans="1:14" x14ac:dyDescent="0.3">
      <c r="A1069" t="s">
        <v>17</v>
      </c>
      <c r="B1069" t="s">
        <v>18</v>
      </c>
      <c r="C1069" t="str">
        <f t="shared" si="115"/>
        <v>400</v>
      </c>
      <c r="D1069" t="str">
        <f>"615248"</f>
        <v>615248</v>
      </c>
      <c r="E1069" t="s">
        <v>19</v>
      </c>
      <c r="F1069" t="s">
        <v>1042</v>
      </c>
      <c r="G1069">
        <v>250</v>
      </c>
      <c r="H1069" t="str">
        <f>""</f>
        <v/>
      </c>
      <c r="I1069">
        <v>52.6</v>
      </c>
      <c r="J1069">
        <v>0</v>
      </c>
      <c r="K1069" t="str">
        <f t="shared" si="118"/>
        <v>31000</v>
      </c>
      <c r="L1069" t="str">
        <f t="shared" si="117"/>
        <v>0</v>
      </c>
      <c r="M1069" t="str">
        <f t="shared" si="117"/>
        <v>0</v>
      </c>
      <c r="N1069" t="str">
        <f t="shared" si="117"/>
        <v>0</v>
      </c>
    </row>
    <row r="1070" spans="1:14" x14ac:dyDescent="0.3">
      <c r="A1070" t="s">
        <v>17</v>
      </c>
      <c r="B1070" t="s">
        <v>18</v>
      </c>
      <c r="C1070" t="str">
        <f t="shared" si="115"/>
        <v>400</v>
      </c>
      <c r="D1070" t="str">
        <f>"615249"</f>
        <v>615249</v>
      </c>
      <c r="E1070" t="s">
        <v>19</v>
      </c>
      <c r="F1070" t="s">
        <v>1043</v>
      </c>
      <c r="G1070">
        <v>250</v>
      </c>
      <c r="H1070" t="str">
        <f>""</f>
        <v/>
      </c>
      <c r="I1070">
        <v>8.7899999999999991</v>
      </c>
      <c r="J1070">
        <v>0</v>
      </c>
      <c r="K1070" t="str">
        <f t="shared" si="118"/>
        <v>31000</v>
      </c>
      <c r="L1070" t="str">
        <f t="shared" si="117"/>
        <v>0</v>
      </c>
      <c r="M1070" t="str">
        <f t="shared" si="117"/>
        <v>0</v>
      </c>
      <c r="N1070" t="str">
        <f t="shared" si="117"/>
        <v>0</v>
      </c>
    </row>
    <row r="1071" spans="1:14" x14ac:dyDescent="0.3">
      <c r="A1071" t="s">
        <v>17</v>
      </c>
      <c r="B1071" t="s">
        <v>18</v>
      </c>
      <c r="C1071" t="str">
        <f t="shared" si="115"/>
        <v>400</v>
      </c>
      <c r="D1071" t="str">
        <f>"615258"</f>
        <v>615258</v>
      </c>
      <c r="E1071" t="s">
        <v>19</v>
      </c>
      <c r="F1071" t="s">
        <v>1044</v>
      </c>
      <c r="G1071">
        <v>250</v>
      </c>
      <c r="H1071" t="str">
        <f>""</f>
        <v/>
      </c>
      <c r="I1071">
        <v>58</v>
      </c>
      <c r="J1071">
        <v>0</v>
      </c>
      <c r="K1071" t="str">
        <f t="shared" si="118"/>
        <v>31000</v>
      </c>
      <c r="L1071" t="str">
        <f t="shared" si="117"/>
        <v>0</v>
      </c>
      <c r="M1071" t="str">
        <f t="shared" si="117"/>
        <v>0</v>
      </c>
      <c r="N1071" t="str">
        <f t="shared" si="117"/>
        <v>0</v>
      </c>
    </row>
    <row r="1072" spans="1:14" x14ac:dyDescent="0.3">
      <c r="A1072" t="s">
        <v>17</v>
      </c>
      <c r="B1072" t="s">
        <v>18</v>
      </c>
      <c r="C1072" t="str">
        <f t="shared" si="115"/>
        <v>400</v>
      </c>
      <c r="D1072" t="str">
        <f>"615259"</f>
        <v>615259</v>
      </c>
      <c r="E1072" t="s">
        <v>19</v>
      </c>
      <c r="F1072" t="s">
        <v>1045</v>
      </c>
      <c r="G1072">
        <v>250</v>
      </c>
      <c r="H1072" t="str">
        <f>""</f>
        <v/>
      </c>
      <c r="I1072">
        <v>32</v>
      </c>
      <c r="J1072">
        <v>0</v>
      </c>
      <c r="K1072" t="str">
        <f t="shared" si="118"/>
        <v>31000</v>
      </c>
      <c r="L1072" t="str">
        <f t="shared" si="117"/>
        <v>0</v>
      </c>
      <c r="M1072" t="str">
        <f t="shared" si="117"/>
        <v>0</v>
      </c>
      <c r="N1072" t="str">
        <f t="shared" si="117"/>
        <v>0</v>
      </c>
    </row>
    <row r="1073" spans="1:14" x14ac:dyDescent="0.3">
      <c r="A1073" t="s">
        <v>17</v>
      </c>
      <c r="B1073" t="s">
        <v>18</v>
      </c>
      <c r="C1073" t="str">
        <f t="shared" si="115"/>
        <v>400</v>
      </c>
      <c r="D1073" t="str">
        <f>"615260"</f>
        <v>615260</v>
      </c>
      <c r="E1073" t="s">
        <v>19</v>
      </c>
      <c r="F1073" t="s">
        <v>1046</v>
      </c>
      <c r="G1073">
        <v>250</v>
      </c>
      <c r="H1073" t="str">
        <f>""</f>
        <v/>
      </c>
      <c r="I1073">
        <v>52.6</v>
      </c>
      <c r="J1073">
        <v>0</v>
      </c>
      <c r="K1073" t="str">
        <f t="shared" si="118"/>
        <v>31000</v>
      </c>
      <c r="L1073" t="str">
        <f t="shared" si="117"/>
        <v>0</v>
      </c>
      <c r="M1073" t="str">
        <f t="shared" si="117"/>
        <v>0</v>
      </c>
      <c r="N1073" t="str">
        <f t="shared" si="117"/>
        <v>0</v>
      </c>
    </row>
    <row r="1074" spans="1:14" x14ac:dyDescent="0.3">
      <c r="A1074" t="s">
        <v>17</v>
      </c>
      <c r="B1074" t="s">
        <v>18</v>
      </c>
      <c r="C1074" t="str">
        <f t="shared" si="115"/>
        <v>400</v>
      </c>
      <c r="D1074" t="str">
        <f>"615264"</f>
        <v>615264</v>
      </c>
      <c r="E1074" t="s">
        <v>19</v>
      </c>
      <c r="F1074" t="s">
        <v>1047</v>
      </c>
      <c r="G1074">
        <v>250</v>
      </c>
      <c r="H1074" t="str">
        <f>""</f>
        <v/>
      </c>
      <c r="I1074">
        <v>16.98</v>
      </c>
      <c r="J1074">
        <v>0</v>
      </c>
      <c r="K1074" t="str">
        <f t="shared" si="118"/>
        <v>31000</v>
      </c>
      <c r="L1074" t="str">
        <f t="shared" si="117"/>
        <v>0</v>
      </c>
      <c r="M1074" t="str">
        <f t="shared" si="117"/>
        <v>0</v>
      </c>
      <c r="N1074" t="str">
        <f t="shared" si="117"/>
        <v>0</v>
      </c>
    </row>
    <row r="1075" spans="1:14" x14ac:dyDescent="0.3">
      <c r="A1075" t="s">
        <v>17</v>
      </c>
      <c r="B1075" t="s">
        <v>18</v>
      </c>
      <c r="C1075" t="str">
        <f t="shared" si="115"/>
        <v>400</v>
      </c>
      <c r="D1075" t="str">
        <f>"615265"</f>
        <v>615265</v>
      </c>
      <c r="E1075" t="s">
        <v>19</v>
      </c>
      <c r="F1075" t="s">
        <v>1048</v>
      </c>
      <c r="G1075">
        <v>250</v>
      </c>
      <c r="H1075" t="str">
        <f>""</f>
        <v/>
      </c>
      <c r="I1075">
        <v>20.98</v>
      </c>
      <c r="J1075">
        <v>0</v>
      </c>
      <c r="K1075" t="str">
        <f t="shared" si="118"/>
        <v>31000</v>
      </c>
      <c r="L1075" t="str">
        <f t="shared" si="117"/>
        <v>0</v>
      </c>
      <c r="M1075" t="str">
        <f t="shared" si="117"/>
        <v>0</v>
      </c>
      <c r="N1075" t="str">
        <f t="shared" si="117"/>
        <v>0</v>
      </c>
    </row>
    <row r="1076" spans="1:14" x14ac:dyDescent="0.3">
      <c r="A1076" t="s">
        <v>17</v>
      </c>
      <c r="B1076" t="s">
        <v>18</v>
      </c>
      <c r="C1076" t="str">
        <f t="shared" si="115"/>
        <v>400</v>
      </c>
      <c r="D1076" t="str">
        <f>"615283"</f>
        <v>615283</v>
      </c>
      <c r="E1076" t="s">
        <v>19</v>
      </c>
      <c r="F1076" t="s">
        <v>1049</v>
      </c>
      <c r="G1076">
        <v>250</v>
      </c>
      <c r="H1076" t="str">
        <f>""</f>
        <v/>
      </c>
      <c r="I1076">
        <v>5.5</v>
      </c>
      <c r="J1076">
        <v>0</v>
      </c>
      <c r="K1076" t="str">
        <f t="shared" si="118"/>
        <v>31000</v>
      </c>
      <c r="L1076" t="str">
        <f t="shared" si="117"/>
        <v>0</v>
      </c>
      <c r="M1076" t="str">
        <f t="shared" si="117"/>
        <v>0</v>
      </c>
      <c r="N1076" t="str">
        <f t="shared" si="117"/>
        <v>0</v>
      </c>
    </row>
    <row r="1077" spans="1:14" x14ac:dyDescent="0.3">
      <c r="A1077" t="s">
        <v>17</v>
      </c>
      <c r="B1077" t="s">
        <v>18</v>
      </c>
      <c r="C1077" t="str">
        <f t="shared" si="115"/>
        <v>400</v>
      </c>
      <c r="D1077" t="str">
        <f>"615293"</f>
        <v>615293</v>
      </c>
      <c r="E1077" t="s">
        <v>19</v>
      </c>
      <c r="F1077" t="s">
        <v>1050</v>
      </c>
      <c r="G1077">
        <v>250</v>
      </c>
      <c r="I1077">
        <v>9</v>
      </c>
      <c r="J1077">
        <v>0</v>
      </c>
      <c r="K1077" t="str">
        <f t="shared" si="118"/>
        <v>31000</v>
      </c>
    </row>
    <row r="1078" spans="1:14" x14ac:dyDescent="0.3">
      <c r="A1078" t="s">
        <v>17</v>
      </c>
      <c r="B1078" t="s">
        <v>18</v>
      </c>
      <c r="C1078" t="str">
        <f t="shared" si="115"/>
        <v>400</v>
      </c>
      <c r="D1078" t="str">
        <f>"615318"</f>
        <v>615318</v>
      </c>
      <c r="E1078" t="s">
        <v>19</v>
      </c>
      <c r="F1078" t="s">
        <v>1051</v>
      </c>
      <c r="G1078">
        <v>250</v>
      </c>
      <c r="H1078" t="str">
        <f>""</f>
        <v/>
      </c>
      <c r="I1078">
        <v>4.5</v>
      </c>
      <c r="J1078">
        <v>0</v>
      </c>
      <c r="K1078" t="str">
        <f t="shared" si="118"/>
        <v>31000</v>
      </c>
      <c r="L1078" t="str">
        <f t="shared" ref="L1078:N1090" si="119">"0"</f>
        <v>0</v>
      </c>
      <c r="M1078" t="str">
        <f t="shared" si="119"/>
        <v>0</v>
      </c>
      <c r="N1078" t="str">
        <f t="shared" si="119"/>
        <v>0</v>
      </c>
    </row>
    <row r="1079" spans="1:14" x14ac:dyDescent="0.3">
      <c r="A1079" t="s">
        <v>17</v>
      </c>
      <c r="B1079" t="s">
        <v>18</v>
      </c>
      <c r="C1079" t="str">
        <f t="shared" si="115"/>
        <v>400</v>
      </c>
      <c r="D1079" t="str">
        <f>"615319"</f>
        <v>615319</v>
      </c>
      <c r="E1079" t="s">
        <v>19</v>
      </c>
      <c r="F1079" t="s">
        <v>1052</v>
      </c>
      <c r="G1079">
        <v>250</v>
      </c>
      <c r="H1079" t="str">
        <f>""</f>
        <v/>
      </c>
      <c r="I1079">
        <v>4.5</v>
      </c>
      <c r="J1079">
        <v>0</v>
      </c>
      <c r="K1079" t="str">
        <f t="shared" si="118"/>
        <v>31000</v>
      </c>
      <c r="L1079" t="str">
        <f t="shared" si="119"/>
        <v>0</v>
      </c>
      <c r="M1079" t="str">
        <f t="shared" si="119"/>
        <v>0</v>
      </c>
      <c r="N1079" t="str">
        <f t="shared" si="119"/>
        <v>0</v>
      </c>
    </row>
    <row r="1080" spans="1:14" x14ac:dyDescent="0.3">
      <c r="A1080" t="s">
        <v>17</v>
      </c>
      <c r="B1080" t="s">
        <v>18</v>
      </c>
      <c r="C1080" t="str">
        <f t="shared" si="115"/>
        <v>400</v>
      </c>
      <c r="D1080" t="str">
        <f>"615321"</f>
        <v>615321</v>
      </c>
      <c r="E1080" t="s">
        <v>19</v>
      </c>
      <c r="F1080" t="s">
        <v>1053</v>
      </c>
      <c r="G1080">
        <v>250</v>
      </c>
      <c r="H1080" t="str">
        <f>""</f>
        <v/>
      </c>
      <c r="I1080">
        <v>4</v>
      </c>
      <c r="J1080">
        <v>0</v>
      </c>
      <c r="K1080" t="str">
        <f t="shared" si="118"/>
        <v>31000</v>
      </c>
      <c r="L1080" t="str">
        <f t="shared" si="119"/>
        <v>0</v>
      </c>
      <c r="M1080" t="str">
        <f t="shared" si="119"/>
        <v>0</v>
      </c>
      <c r="N1080" t="str">
        <f t="shared" si="119"/>
        <v>0</v>
      </c>
    </row>
    <row r="1081" spans="1:14" x14ac:dyDescent="0.3">
      <c r="A1081" t="s">
        <v>17</v>
      </c>
      <c r="B1081" t="s">
        <v>18</v>
      </c>
      <c r="C1081" t="str">
        <f t="shared" si="115"/>
        <v>400</v>
      </c>
      <c r="D1081" t="str">
        <f>"615325"</f>
        <v>615325</v>
      </c>
      <c r="E1081" t="s">
        <v>19</v>
      </c>
      <c r="F1081" t="s">
        <v>1054</v>
      </c>
      <c r="G1081">
        <v>250</v>
      </c>
      <c r="H1081" t="str">
        <f>""</f>
        <v/>
      </c>
      <c r="I1081">
        <v>36</v>
      </c>
      <c r="J1081">
        <v>0</v>
      </c>
      <c r="K1081" t="str">
        <f t="shared" si="118"/>
        <v>31000</v>
      </c>
      <c r="L1081" t="str">
        <f t="shared" si="119"/>
        <v>0</v>
      </c>
      <c r="M1081" t="str">
        <f t="shared" si="119"/>
        <v>0</v>
      </c>
      <c r="N1081" t="str">
        <f t="shared" si="119"/>
        <v>0</v>
      </c>
    </row>
    <row r="1082" spans="1:14" x14ac:dyDescent="0.3">
      <c r="A1082" t="s">
        <v>17</v>
      </c>
      <c r="B1082" t="s">
        <v>18</v>
      </c>
      <c r="C1082" t="str">
        <f t="shared" si="115"/>
        <v>400</v>
      </c>
      <c r="D1082" t="str">
        <f>"615333"</f>
        <v>615333</v>
      </c>
      <c r="E1082" t="s">
        <v>19</v>
      </c>
      <c r="F1082" t="s">
        <v>1055</v>
      </c>
      <c r="G1082">
        <v>250</v>
      </c>
      <c r="H1082" t="str">
        <f>""</f>
        <v/>
      </c>
      <c r="I1082">
        <v>65</v>
      </c>
      <c r="J1082">
        <v>0</v>
      </c>
      <c r="K1082" t="str">
        <f t="shared" si="118"/>
        <v>31000</v>
      </c>
      <c r="L1082" t="str">
        <f t="shared" si="119"/>
        <v>0</v>
      </c>
      <c r="M1082" t="str">
        <f t="shared" si="119"/>
        <v>0</v>
      </c>
      <c r="N1082" t="str">
        <f t="shared" si="119"/>
        <v>0</v>
      </c>
    </row>
    <row r="1083" spans="1:14" x14ac:dyDescent="0.3">
      <c r="A1083" t="s">
        <v>17</v>
      </c>
      <c r="B1083" t="s">
        <v>18</v>
      </c>
      <c r="C1083" t="str">
        <f t="shared" si="115"/>
        <v>400</v>
      </c>
      <c r="D1083" t="str">
        <f>"615343"</f>
        <v>615343</v>
      </c>
      <c r="E1083" t="s">
        <v>19</v>
      </c>
      <c r="F1083" t="s">
        <v>1056</v>
      </c>
      <c r="G1083">
        <v>250</v>
      </c>
      <c r="H1083" t="str">
        <f>""</f>
        <v/>
      </c>
      <c r="I1083">
        <v>6.48</v>
      </c>
      <c r="J1083">
        <v>0</v>
      </c>
      <c r="K1083" t="str">
        <f t="shared" si="118"/>
        <v>31000</v>
      </c>
      <c r="L1083" t="str">
        <f t="shared" si="119"/>
        <v>0</v>
      </c>
      <c r="M1083" t="str">
        <f t="shared" si="119"/>
        <v>0</v>
      </c>
      <c r="N1083" t="str">
        <f t="shared" si="119"/>
        <v>0</v>
      </c>
    </row>
    <row r="1084" spans="1:14" x14ac:dyDescent="0.3">
      <c r="A1084" t="s">
        <v>17</v>
      </c>
      <c r="B1084" t="s">
        <v>18</v>
      </c>
      <c r="C1084" t="str">
        <f t="shared" si="115"/>
        <v>400</v>
      </c>
      <c r="D1084" t="str">
        <f>"615344"</f>
        <v>615344</v>
      </c>
      <c r="E1084" t="s">
        <v>19</v>
      </c>
      <c r="F1084" t="s">
        <v>1057</v>
      </c>
      <c r="G1084">
        <v>250</v>
      </c>
      <c r="H1084" t="str">
        <f>""</f>
        <v/>
      </c>
      <c r="I1084">
        <v>4.5</v>
      </c>
      <c r="J1084">
        <v>0</v>
      </c>
      <c r="K1084" t="str">
        <f t="shared" si="118"/>
        <v>31000</v>
      </c>
      <c r="L1084" t="str">
        <f t="shared" si="119"/>
        <v>0</v>
      </c>
      <c r="M1084" t="str">
        <f t="shared" si="119"/>
        <v>0</v>
      </c>
      <c r="N1084" t="str">
        <f t="shared" si="119"/>
        <v>0</v>
      </c>
    </row>
    <row r="1085" spans="1:14" x14ac:dyDescent="0.3">
      <c r="A1085" t="s">
        <v>17</v>
      </c>
      <c r="B1085" t="s">
        <v>18</v>
      </c>
      <c r="C1085" t="str">
        <f t="shared" si="115"/>
        <v>400</v>
      </c>
      <c r="D1085" t="str">
        <f>"615345"</f>
        <v>615345</v>
      </c>
      <c r="E1085" t="s">
        <v>19</v>
      </c>
      <c r="F1085" t="s">
        <v>1058</v>
      </c>
      <c r="G1085">
        <v>250</v>
      </c>
      <c r="H1085" t="str">
        <f>""</f>
        <v/>
      </c>
      <c r="I1085">
        <v>6.5</v>
      </c>
      <c r="J1085">
        <v>0</v>
      </c>
      <c r="K1085" t="str">
        <f t="shared" si="118"/>
        <v>31000</v>
      </c>
      <c r="L1085" t="str">
        <f t="shared" si="119"/>
        <v>0</v>
      </c>
      <c r="M1085" t="str">
        <f t="shared" si="119"/>
        <v>0</v>
      </c>
      <c r="N1085" t="str">
        <f t="shared" si="119"/>
        <v>0</v>
      </c>
    </row>
    <row r="1086" spans="1:14" x14ac:dyDescent="0.3">
      <c r="A1086" t="s">
        <v>17</v>
      </c>
      <c r="B1086" t="s">
        <v>18</v>
      </c>
      <c r="C1086" t="str">
        <f t="shared" si="115"/>
        <v>400</v>
      </c>
      <c r="D1086" t="str">
        <f>"615365"</f>
        <v>615365</v>
      </c>
      <c r="E1086" t="s">
        <v>19</v>
      </c>
      <c r="F1086" t="s">
        <v>1059</v>
      </c>
      <c r="G1086">
        <v>250</v>
      </c>
      <c r="H1086" t="str">
        <f>""</f>
        <v/>
      </c>
      <c r="I1086">
        <v>30</v>
      </c>
      <c r="J1086">
        <v>0</v>
      </c>
      <c r="K1086" t="str">
        <f t="shared" si="118"/>
        <v>31000</v>
      </c>
      <c r="L1086" t="str">
        <f t="shared" si="119"/>
        <v>0</v>
      </c>
      <c r="M1086" t="str">
        <f t="shared" si="119"/>
        <v>0</v>
      </c>
      <c r="N1086" t="str">
        <f t="shared" si="119"/>
        <v>0</v>
      </c>
    </row>
    <row r="1087" spans="1:14" x14ac:dyDescent="0.3">
      <c r="A1087" t="s">
        <v>17</v>
      </c>
      <c r="B1087" t="s">
        <v>18</v>
      </c>
      <c r="C1087" t="str">
        <f t="shared" si="115"/>
        <v>400</v>
      </c>
      <c r="D1087" t="str">
        <f>"615425"</f>
        <v>615425</v>
      </c>
      <c r="E1087" t="s">
        <v>19</v>
      </c>
      <c r="F1087" t="s">
        <v>1060</v>
      </c>
      <c r="G1087">
        <v>250</v>
      </c>
      <c r="H1087" t="str">
        <f>""</f>
        <v/>
      </c>
      <c r="I1087">
        <v>4.5</v>
      </c>
      <c r="J1087">
        <v>0</v>
      </c>
      <c r="K1087" t="str">
        <f t="shared" si="118"/>
        <v>31000</v>
      </c>
      <c r="L1087" t="str">
        <f t="shared" si="119"/>
        <v>0</v>
      </c>
      <c r="M1087" t="str">
        <f t="shared" si="119"/>
        <v>0</v>
      </c>
      <c r="N1087" t="str">
        <f t="shared" si="119"/>
        <v>0</v>
      </c>
    </row>
    <row r="1088" spans="1:14" x14ac:dyDescent="0.3">
      <c r="A1088" t="s">
        <v>17</v>
      </c>
      <c r="B1088" t="s">
        <v>18</v>
      </c>
      <c r="C1088" t="str">
        <f t="shared" si="115"/>
        <v>400</v>
      </c>
      <c r="D1088" t="str">
        <f>"615429"</f>
        <v>615429</v>
      </c>
      <c r="E1088" t="s">
        <v>19</v>
      </c>
      <c r="F1088" t="s">
        <v>1061</v>
      </c>
      <c r="G1088">
        <v>250</v>
      </c>
      <c r="H1088" t="str">
        <f>""</f>
        <v/>
      </c>
      <c r="I1088">
        <v>29.55</v>
      </c>
      <c r="J1088">
        <v>0</v>
      </c>
      <c r="K1088" t="str">
        <f t="shared" si="118"/>
        <v>31000</v>
      </c>
      <c r="L1088" t="str">
        <f t="shared" si="119"/>
        <v>0</v>
      </c>
      <c r="M1088" t="str">
        <f t="shared" si="119"/>
        <v>0</v>
      </c>
      <c r="N1088" t="str">
        <f t="shared" si="119"/>
        <v>0</v>
      </c>
    </row>
    <row r="1089" spans="1:14" x14ac:dyDescent="0.3">
      <c r="A1089" t="s">
        <v>17</v>
      </c>
      <c r="B1089" t="s">
        <v>18</v>
      </c>
      <c r="C1089" t="str">
        <f t="shared" si="115"/>
        <v>400</v>
      </c>
      <c r="D1089" t="str">
        <f>"615432"</f>
        <v>615432</v>
      </c>
      <c r="E1089" t="s">
        <v>19</v>
      </c>
      <c r="F1089" t="s">
        <v>1062</v>
      </c>
      <c r="G1089">
        <v>250</v>
      </c>
      <c r="H1089" t="str">
        <f>""</f>
        <v/>
      </c>
      <c r="I1089">
        <v>4.5</v>
      </c>
      <c r="J1089">
        <v>0</v>
      </c>
      <c r="K1089" t="str">
        <f t="shared" si="118"/>
        <v>31000</v>
      </c>
      <c r="L1089" t="str">
        <f t="shared" si="119"/>
        <v>0</v>
      </c>
      <c r="M1089" t="str">
        <f t="shared" si="119"/>
        <v>0</v>
      </c>
      <c r="N1089" t="str">
        <f t="shared" si="119"/>
        <v>0</v>
      </c>
    </row>
    <row r="1090" spans="1:14" x14ac:dyDescent="0.3">
      <c r="A1090" t="s">
        <v>17</v>
      </c>
      <c r="B1090" t="s">
        <v>18</v>
      </c>
      <c r="C1090" t="str">
        <f t="shared" ref="C1090:C1153" si="120">"400"</f>
        <v>400</v>
      </c>
      <c r="D1090" t="str">
        <f>"615434"</f>
        <v>615434</v>
      </c>
      <c r="E1090" t="s">
        <v>19</v>
      </c>
      <c r="F1090" t="s">
        <v>1063</v>
      </c>
      <c r="G1090">
        <v>250</v>
      </c>
      <c r="H1090" t="str">
        <f>""</f>
        <v/>
      </c>
      <c r="I1090">
        <v>4.5</v>
      </c>
      <c r="J1090">
        <v>0</v>
      </c>
      <c r="K1090" t="str">
        <f t="shared" si="118"/>
        <v>31000</v>
      </c>
      <c r="L1090" t="str">
        <f t="shared" si="119"/>
        <v>0</v>
      </c>
      <c r="M1090" t="str">
        <f t="shared" si="119"/>
        <v>0</v>
      </c>
      <c r="N1090" t="str">
        <f t="shared" si="119"/>
        <v>0</v>
      </c>
    </row>
    <row r="1091" spans="1:14" x14ac:dyDescent="0.3">
      <c r="A1091" t="s">
        <v>17</v>
      </c>
      <c r="B1091" t="s">
        <v>18</v>
      </c>
      <c r="C1091" t="str">
        <f t="shared" si="120"/>
        <v>400</v>
      </c>
      <c r="D1091" t="str">
        <f>"615443"</f>
        <v>615443</v>
      </c>
      <c r="E1091" t="s">
        <v>19</v>
      </c>
      <c r="F1091" t="s">
        <v>1064</v>
      </c>
      <c r="G1091">
        <v>250</v>
      </c>
      <c r="I1091">
        <v>2.5</v>
      </c>
      <c r="J1091">
        <v>0</v>
      </c>
      <c r="K1091" t="str">
        <f t="shared" si="118"/>
        <v>31000</v>
      </c>
    </row>
    <row r="1092" spans="1:14" x14ac:dyDescent="0.3">
      <c r="A1092" t="s">
        <v>17</v>
      </c>
      <c r="B1092" t="s">
        <v>18</v>
      </c>
      <c r="C1092" t="str">
        <f t="shared" si="120"/>
        <v>400</v>
      </c>
      <c r="D1092" t="str">
        <f>"615444"</f>
        <v>615444</v>
      </c>
      <c r="E1092" t="s">
        <v>19</v>
      </c>
      <c r="F1092" t="s">
        <v>1065</v>
      </c>
      <c r="G1092">
        <v>250</v>
      </c>
      <c r="H1092" t="str">
        <f>""</f>
        <v/>
      </c>
      <c r="I1092">
        <v>5.5</v>
      </c>
      <c r="J1092">
        <v>0</v>
      </c>
      <c r="K1092" t="str">
        <f t="shared" si="118"/>
        <v>31000</v>
      </c>
      <c r="L1092" t="str">
        <f t="shared" ref="L1092:N1111" si="121">"0"</f>
        <v>0</v>
      </c>
      <c r="M1092" t="str">
        <f t="shared" si="121"/>
        <v>0</v>
      </c>
      <c r="N1092" t="str">
        <f t="shared" si="121"/>
        <v>0</v>
      </c>
    </row>
    <row r="1093" spans="1:14" x14ac:dyDescent="0.3">
      <c r="A1093" t="s">
        <v>17</v>
      </c>
      <c r="B1093" t="s">
        <v>18</v>
      </c>
      <c r="C1093" t="str">
        <f t="shared" si="120"/>
        <v>400</v>
      </c>
      <c r="D1093" t="str">
        <f>"615449"</f>
        <v>615449</v>
      </c>
      <c r="E1093" t="s">
        <v>19</v>
      </c>
      <c r="F1093" t="s">
        <v>1066</v>
      </c>
      <c r="G1093">
        <v>250</v>
      </c>
      <c r="H1093" t="str">
        <f>""</f>
        <v/>
      </c>
      <c r="I1093">
        <v>2.5</v>
      </c>
      <c r="J1093">
        <v>0</v>
      </c>
      <c r="K1093" t="str">
        <f t="shared" si="118"/>
        <v>31000</v>
      </c>
      <c r="L1093" t="str">
        <f t="shared" si="121"/>
        <v>0</v>
      </c>
      <c r="M1093" t="str">
        <f t="shared" si="121"/>
        <v>0</v>
      </c>
      <c r="N1093" t="str">
        <f t="shared" si="121"/>
        <v>0</v>
      </c>
    </row>
    <row r="1094" spans="1:14" x14ac:dyDescent="0.3">
      <c r="A1094" t="s">
        <v>17</v>
      </c>
      <c r="B1094" t="s">
        <v>18</v>
      </c>
      <c r="C1094" t="str">
        <f t="shared" si="120"/>
        <v>400</v>
      </c>
      <c r="D1094" t="str">
        <f>"615450"</f>
        <v>615450</v>
      </c>
      <c r="E1094" t="s">
        <v>19</v>
      </c>
      <c r="F1094" t="s">
        <v>1067</v>
      </c>
      <c r="G1094">
        <v>250</v>
      </c>
      <c r="H1094" t="str">
        <f>""</f>
        <v/>
      </c>
      <c r="I1094">
        <v>12.95</v>
      </c>
      <c r="J1094">
        <v>0</v>
      </c>
      <c r="K1094" t="str">
        <f t="shared" si="118"/>
        <v>31000</v>
      </c>
      <c r="L1094" t="str">
        <f t="shared" si="121"/>
        <v>0</v>
      </c>
      <c r="M1094" t="str">
        <f t="shared" si="121"/>
        <v>0</v>
      </c>
      <c r="N1094" t="str">
        <f t="shared" si="121"/>
        <v>0</v>
      </c>
    </row>
    <row r="1095" spans="1:14" x14ac:dyDescent="0.3">
      <c r="A1095" t="s">
        <v>17</v>
      </c>
      <c r="B1095" t="s">
        <v>18</v>
      </c>
      <c r="C1095" t="str">
        <f t="shared" si="120"/>
        <v>400</v>
      </c>
      <c r="D1095" t="str">
        <f>"615456"</f>
        <v>615456</v>
      </c>
      <c r="E1095" t="s">
        <v>19</v>
      </c>
      <c r="F1095" t="s">
        <v>1068</v>
      </c>
      <c r="G1095">
        <v>250</v>
      </c>
      <c r="H1095" t="str">
        <f>""</f>
        <v/>
      </c>
      <c r="I1095">
        <v>82</v>
      </c>
      <c r="J1095">
        <v>0</v>
      </c>
      <c r="K1095" t="str">
        <f t="shared" si="118"/>
        <v>31000</v>
      </c>
      <c r="L1095" t="str">
        <f t="shared" si="121"/>
        <v>0</v>
      </c>
      <c r="M1095" t="str">
        <f t="shared" si="121"/>
        <v>0</v>
      </c>
      <c r="N1095" t="str">
        <f t="shared" si="121"/>
        <v>0</v>
      </c>
    </row>
    <row r="1096" spans="1:14" x14ac:dyDescent="0.3">
      <c r="A1096" t="s">
        <v>17</v>
      </c>
      <c r="B1096" t="s">
        <v>18</v>
      </c>
      <c r="C1096" t="str">
        <f t="shared" si="120"/>
        <v>400</v>
      </c>
      <c r="D1096" t="str">
        <f>"615459"</f>
        <v>615459</v>
      </c>
      <c r="E1096" t="s">
        <v>19</v>
      </c>
      <c r="F1096" t="s">
        <v>1069</v>
      </c>
      <c r="G1096">
        <v>250</v>
      </c>
      <c r="H1096" t="str">
        <f>""</f>
        <v/>
      </c>
      <c r="I1096">
        <v>95</v>
      </c>
      <c r="J1096">
        <v>0</v>
      </c>
      <c r="K1096" t="str">
        <f t="shared" si="118"/>
        <v>31000</v>
      </c>
      <c r="L1096" t="str">
        <f t="shared" si="121"/>
        <v>0</v>
      </c>
      <c r="M1096" t="str">
        <f t="shared" si="121"/>
        <v>0</v>
      </c>
      <c r="N1096" t="str">
        <f t="shared" si="121"/>
        <v>0</v>
      </c>
    </row>
    <row r="1097" spans="1:14" x14ac:dyDescent="0.3">
      <c r="A1097" t="s">
        <v>17</v>
      </c>
      <c r="B1097" t="s">
        <v>18</v>
      </c>
      <c r="C1097" t="str">
        <f t="shared" si="120"/>
        <v>400</v>
      </c>
      <c r="D1097" t="str">
        <f>"615460"</f>
        <v>615460</v>
      </c>
      <c r="E1097" t="s">
        <v>19</v>
      </c>
      <c r="F1097" t="s">
        <v>1070</v>
      </c>
      <c r="G1097">
        <v>250</v>
      </c>
      <c r="H1097" t="str">
        <f>""</f>
        <v/>
      </c>
      <c r="I1097">
        <v>16.260000000000002</v>
      </c>
      <c r="J1097">
        <v>0</v>
      </c>
      <c r="K1097" t="str">
        <f t="shared" si="118"/>
        <v>31000</v>
      </c>
      <c r="L1097" t="str">
        <f t="shared" si="121"/>
        <v>0</v>
      </c>
      <c r="M1097" t="str">
        <f t="shared" si="121"/>
        <v>0</v>
      </c>
      <c r="N1097" t="str">
        <f t="shared" si="121"/>
        <v>0</v>
      </c>
    </row>
    <row r="1098" spans="1:14" x14ac:dyDescent="0.3">
      <c r="A1098" t="s">
        <v>17</v>
      </c>
      <c r="B1098" t="s">
        <v>18</v>
      </c>
      <c r="C1098" t="str">
        <f t="shared" si="120"/>
        <v>400</v>
      </c>
      <c r="D1098" t="str">
        <f>"615462"</f>
        <v>615462</v>
      </c>
      <c r="E1098" t="s">
        <v>19</v>
      </c>
      <c r="F1098" t="s">
        <v>1071</v>
      </c>
      <c r="G1098">
        <v>250</v>
      </c>
      <c r="H1098" t="str">
        <f>""</f>
        <v/>
      </c>
      <c r="I1098">
        <v>2.5</v>
      </c>
      <c r="J1098">
        <v>0</v>
      </c>
      <c r="K1098" t="str">
        <f t="shared" si="118"/>
        <v>31000</v>
      </c>
      <c r="L1098" t="str">
        <f t="shared" si="121"/>
        <v>0</v>
      </c>
      <c r="M1098" t="str">
        <f t="shared" si="121"/>
        <v>0</v>
      </c>
      <c r="N1098" t="str">
        <f t="shared" si="121"/>
        <v>0</v>
      </c>
    </row>
    <row r="1099" spans="1:14" x14ac:dyDescent="0.3">
      <c r="A1099" t="s">
        <v>17</v>
      </c>
      <c r="B1099" t="s">
        <v>18</v>
      </c>
      <c r="C1099" t="str">
        <f t="shared" si="120"/>
        <v>400</v>
      </c>
      <c r="D1099" t="str">
        <f>"615469"</f>
        <v>615469</v>
      </c>
      <c r="E1099" t="s">
        <v>19</v>
      </c>
      <c r="F1099" t="s">
        <v>1072</v>
      </c>
      <c r="G1099">
        <v>250</v>
      </c>
      <c r="H1099" t="str">
        <f>""</f>
        <v/>
      </c>
      <c r="I1099">
        <v>26.22</v>
      </c>
      <c r="J1099">
        <v>0</v>
      </c>
      <c r="K1099" t="str">
        <f t="shared" si="118"/>
        <v>31000</v>
      </c>
      <c r="L1099" t="str">
        <f t="shared" si="121"/>
        <v>0</v>
      </c>
      <c r="M1099" t="str">
        <f t="shared" si="121"/>
        <v>0</v>
      </c>
      <c r="N1099" t="str">
        <f t="shared" si="121"/>
        <v>0</v>
      </c>
    </row>
    <row r="1100" spans="1:14" x14ac:dyDescent="0.3">
      <c r="A1100" t="s">
        <v>17</v>
      </c>
      <c r="B1100" t="s">
        <v>18</v>
      </c>
      <c r="C1100" t="str">
        <f t="shared" si="120"/>
        <v>400</v>
      </c>
      <c r="D1100" t="str">
        <f>"615472"</f>
        <v>615472</v>
      </c>
      <c r="E1100" t="s">
        <v>19</v>
      </c>
      <c r="F1100" t="s">
        <v>1073</v>
      </c>
      <c r="G1100">
        <v>250</v>
      </c>
      <c r="H1100" t="str">
        <f>""</f>
        <v/>
      </c>
      <c r="I1100">
        <v>13</v>
      </c>
      <c r="J1100">
        <v>0</v>
      </c>
      <c r="K1100" t="str">
        <f t="shared" si="118"/>
        <v>31000</v>
      </c>
      <c r="L1100" t="str">
        <f t="shared" si="121"/>
        <v>0</v>
      </c>
      <c r="M1100" t="str">
        <f t="shared" si="121"/>
        <v>0</v>
      </c>
      <c r="N1100" t="str">
        <f t="shared" si="121"/>
        <v>0</v>
      </c>
    </row>
    <row r="1101" spans="1:14" x14ac:dyDescent="0.3">
      <c r="A1101" t="s">
        <v>17</v>
      </c>
      <c r="B1101" t="s">
        <v>18</v>
      </c>
      <c r="C1101" t="str">
        <f t="shared" si="120"/>
        <v>400</v>
      </c>
      <c r="D1101" t="str">
        <f>"615473"</f>
        <v>615473</v>
      </c>
      <c r="E1101" t="s">
        <v>19</v>
      </c>
      <c r="F1101" t="s">
        <v>1074</v>
      </c>
      <c r="G1101">
        <v>250</v>
      </c>
      <c r="H1101" t="str">
        <f>""</f>
        <v/>
      </c>
      <c r="I1101">
        <v>2.5</v>
      </c>
      <c r="J1101">
        <v>0</v>
      </c>
      <c r="K1101" t="str">
        <f t="shared" si="118"/>
        <v>31000</v>
      </c>
      <c r="L1101" t="str">
        <f t="shared" si="121"/>
        <v>0</v>
      </c>
      <c r="M1101" t="str">
        <f t="shared" si="121"/>
        <v>0</v>
      </c>
      <c r="N1101" t="str">
        <f t="shared" si="121"/>
        <v>0</v>
      </c>
    </row>
    <row r="1102" spans="1:14" x14ac:dyDescent="0.3">
      <c r="A1102" t="s">
        <v>17</v>
      </c>
      <c r="B1102" t="s">
        <v>18</v>
      </c>
      <c r="C1102" t="str">
        <f t="shared" si="120"/>
        <v>400</v>
      </c>
      <c r="D1102" t="str">
        <f>"615475"</f>
        <v>615475</v>
      </c>
      <c r="E1102" t="s">
        <v>19</v>
      </c>
      <c r="F1102" t="s">
        <v>1075</v>
      </c>
      <c r="G1102">
        <v>250</v>
      </c>
      <c r="H1102" t="str">
        <f>""</f>
        <v/>
      </c>
      <c r="I1102">
        <v>2.88</v>
      </c>
      <c r="J1102">
        <v>0</v>
      </c>
      <c r="K1102" t="str">
        <f t="shared" si="118"/>
        <v>31000</v>
      </c>
      <c r="L1102" t="str">
        <f t="shared" si="121"/>
        <v>0</v>
      </c>
      <c r="M1102" t="str">
        <f t="shared" si="121"/>
        <v>0</v>
      </c>
      <c r="N1102" t="str">
        <f t="shared" si="121"/>
        <v>0</v>
      </c>
    </row>
    <row r="1103" spans="1:14" x14ac:dyDescent="0.3">
      <c r="A1103" t="s">
        <v>17</v>
      </c>
      <c r="B1103" t="s">
        <v>18</v>
      </c>
      <c r="C1103" t="str">
        <f t="shared" si="120"/>
        <v>400</v>
      </c>
      <c r="D1103" t="str">
        <f>"615478"</f>
        <v>615478</v>
      </c>
      <c r="E1103" t="s">
        <v>19</v>
      </c>
      <c r="F1103" t="s">
        <v>1076</v>
      </c>
      <c r="G1103">
        <v>250</v>
      </c>
      <c r="H1103" t="str">
        <f>""</f>
        <v/>
      </c>
      <c r="I1103">
        <v>5</v>
      </c>
      <c r="J1103">
        <v>0</v>
      </c>
      <c r="K1103" t="str">
        <f t="shared" si="118"/>
        <v>31000</v>
      </c>
      <c r="L1103" t="str">
        <f t="shared" si="121"/>
        <v>0</v>
      </c>
      <c r="M1103" t="str">
        <f t="shared" si="121"/>
        <v>0</v>
      </c>
      <c r="N1103" t="str">
        <f t="shared" si="121"/>
        <v>0</v>
      </c>
    </row>
    <row r="1104" spans="1:14" x14ac:dyDescent="0.3">
      <c r="A1104" t="s">
        <v>17</v>
      </c>
      <c r="B1104" t="s">
        <v>18</v>
      </c>
      <c r="C1104" t="str">
        <f t="shared" si="120"/>
        <v>400</v>
      </c>
      <c r="D1104" t="str">
        <f>"615480"</f>
        <v>615480</v>
      </c>
      <c r="E1104" t="s">
        <v>19</v>
      </c>
      <c r="F1104" t="s">
        <v>1077</v>
      </c>
      <c r="G1104">
        <v>250</v>
      </c>
      <c r="H1104" t="str">
        <f>""</f>
        <v/>
      </c>
      <c r="I1104">
        <v>15.63</v>
      </c>
      <c r="J1104">
        <v>0</v>
      </c>
      <c r="K1104" t="str">
        <f t="shared" si="118"/>
        <v>31000</v>
      </c>
      <c r="L1104" t="str">
        <f t="shared" si="121"/>
        <v>0</v>
      </c>
      <c r="M1104" t="str">
        <f t="shared" si="121"/>
        <v>0</v>
      </c>
      <c r="N1104" t="str">
        <f t="shared" si="121"/>
        <v>0</v>
      </c>
    </row>
    <row r="1105" spans="1:14" x14ac:dyDescent="0.3">
      <c r="A1105" t="s">
        <v>17</v>
      </c>
      <c r="B1105" t="s">
        <v>18</v>
      </c>
      <c r="C1105" t="str">
        <f t="shared" si="120"/>
        <v>400</v>
      </c>
      <c r="D1105" t="str">
        <f>"615483"</f>
        <v>615483</v>
      </c>
      <c r="E1105" t="s">
        <v>19</v>
      </c>
      <c r="F1105" t="s">
        <v>1078</v>
      </c>
      <c r="G1105">
        <v>250</v>
      </c>
      <c r="H1105" t="str">
        <f>""</f>
        <v/>
      </c>
      <c r="I1105">
        <v>25</v>
      </c>
      <c r="J1105">
        <v>0</v>
      </c>
      <c r="K1105" t="str">
        <f t="shared" si="118"/>
        <v>31000</v>
      </c>
      <c r="L1105" t="str">
        <f t="shared" si="121"/>
        <v>0</v>
      </c>
      <c r="M1105" t="str">
        <f t="shared" si="121"/>
        <v>0</v>
      </c>
      <c r="N1105" t="str">
        <f t="shared" si="121"/>
        <v>0</v>
      </c>
    </row>
    <row r="1106" spans="1:14" x14ac:dyDescent="0.3">
      <c r="A1106" t="s">
        <v>17</v>
      </c>
      <c r="B1106" t="s">
        <v>18</v>
      </c>
      <c r="C1106" t="str">
        <f t="shared" si="120"/>
        <v>400</v>
      </c>
      <c r="D1106" t="str">
        <f>"615486"</f>
        <v>615486</v>
      </c>
      <c r="E1106" t="s">
        <v>19</v>
      </c>
      <c r="F1106" t="s">
        <v>1079</v>
      </c>
      <c r="G1106">
        <v>250</v>
      </c>
      <c r="H1106" t="str">
        <f>""</f>
        <v/>
      </c>
      <c r="I1106">
        <v>29.85</v>
      </c>
      <c r="J1106">
        <v>0</v>
      </c>
      <c r="K1106" t="str">
        <f t="shared" si="118"/>
        <v>31000</v>
      </c>
      <c r="L1106" t="str">
        <f t="shared" si="121"/>
        <v>0</v>
      </c>
      <c r="M1106" t="str">
        <f t="shared" si="121"/>
        <v>0</v>
      </c>
      <c r="N1106" t="str">
        <f t="shared" si="121"/>
        <v>0</v>
      </c>
    </row>
    <row r="1107" spans="1:14" x14ac:dyDescent="0.3">
      <c r="A1107" t="s">
        <v>17</v>
      </c>
      <c r="B1107" t="s">
        <v>18</v>
      </c>
      <c r="C1107" t="str">
        <f t="shared" si="120"/>
        <v>400</v>
      </c>
      <c r="D1107" t="str">
        <f>"615487"</f>
        <v>615487</v>
      </c>
      <c r="E1107" t="s">
        <v>19</v>
      </c>
      <c r="F1107" t="s">
        <v>1080</v>
      </c>
      <c r="G1107">
        <v>250</v>
      </c>
      <c r="H1107" t="str">
        <f>""</f>
        <v/>
      </c>
      <c r="I1107">
        <v>2.9</v>
      </c>
      <c r="J1107">
        <v>0</v>
      </c>
      <c r="K1107" t="str">
        <f t="shared" si="118"/>
        <v>31000</v>
      </c>
      <c r="L1107" t="str">
        <f t="shared" si="121"/>
        <v>0</v>
      </c>
      <c r="M1107" t="str">
        <f t="shared" si="121"/>
        <v>0</v>
      </c>
      <c r="N1107" t="str">
        <f t="shared" si="121"/>
        <v>0</v>
      </c>
    </row>
    <row r="1108" spans="1:14" x14ac:dyDescent="0.3">
      <c r="A1108" t="s">
        <v>17</v>
      </c>
      <c r="B1108" t="s">
        <v>18</v>
      </c>
      <c r="C1108" t="str">
        <f t="shared" si="120"/>
        <v>400</v>
      </c>
      <c r="D1108" t="str">
        <f>"615489"</f>
        <v>615489</v>
      </c>
      <c r="E1108" t="s">
        <v>19</v>
      </c>
      <c r="F1108" t="s">
        <v>1081</v>
      </c>
      <c r="G1108">
        <v>250</v>
      </c>
      <c r="H1108" t="str">
        <f>""</f>
        <v/>
      </c>
      <c r="I1108">
        <v>14.95</v>
      </c>
      <c r="J1108">
        <v>0</v>
      </c>
      <c r="K1108" t="str">
        <f t="shared" si="118"/>
        <v>31000</v>
      </c>
      <c r="L1108" t="str">
        <f t="shared" si="121"/>
        <v>0</v>
      </c>
      <c r="M1108" t="str">
        <f t="shared" si="121"/>
        <v>0</v>
      </c>
      <c r="N1108" t="str">
        <f t="shared" si="121"/>
        <v>0</v>
      </c>
    </row>
    <row r="1109" spans="1:14" x14ac:dyDescent="0.3">
      <c r="A1109" t="s">
        <v>17</v>
      </c>
      <c r="B1109" t="s">
        <v>18</v>
      </c>
      <c r="C1109" t="str">
        <f t="shared" si="120"/>
        <v>400</v>
      </c>
      <c r="D1109" t="str">
        <f>"615490"</f>
        <v>615490</v>
      </c>
      <c r="E1109" t="s">
        <v>19</v>
      </c>
      <c r="F1109" t="s">
        <v>1082</v>
      </c>
      <c r="G1109">
        <v>250</v>
      </c>
      <c r="H1109" t="str">
        <f>""</f>
        <v/>
      </c>
      <c r="I1109">
        <v>29.85</v>
      </c>
      <c r="J1109">
        <v>0</v>
      </c>
      <c r="K1109" t="str">
        <f t="shared" si="118"/>
        <v>31000</v>
      </c>
      <c r="L1109" t="str">
        <f t="shared" si="121"/>
        <v>0</v>
      </c>
      <c r="M1109" t="str">
        <f t="shared" si="121"/>
        <v>0</v>
      </c>
      <c r="N1109" t="str">
        <f t="shared" si="121"/>
        <v>0</v>
      </c>
    </row>
    <row r="1110" spans="1:14" x14ac:dyDescent="0.3">
      <c r="A1110" t="s">
        <v>17</v>
      </c>
      <c r="B1110" t="s">
        <v>18</v>
      </c>
      <c r="C1110" t="str">
        <f t="shared" si="120"/>
        <v>400</v>
      </c>
      <c r="D1110" t="str">
        <f>"615492"</f>
        <v>615492</v>
      </c>
      <c r="E1110" t="s">
        <v>19</v>
      </c>
      <c r="F1110" t="s">
        <v>1083</v>
      </c>
      <c r="G1110">
        <v>250</v>
      </c>
      <c r="H1110" t="str">
        <f>""</f>
        <v/>
      </c>
      <c r="I1110">
        <v>6.39</v>
      </c>
      <c r="J1110">
        <v>0</v>
      </c>
      <c r="K1110" t="str">
        <f t="shared" si="118"/>
        <v>31000</v>
      </c>
      <c r="L1110" t="str">
        <f t="shared" si="121"/>
        <v>0</v>
      </c>
      <c r="M1110" t="str">
        <f t="shared" si="121"/>
        <v>0</v>
      </c>
      <c r="N1110" t="str">
        <f t="shared" si="121"/>
        <v>0</v>
      </c>
    </row>
    <row r="1111" spans="1:14" x14ac:dyDescent="0.3">
      <c r="A1111" t="s">
        <v>17</v>
      </c>
      <c r="B1111" t="s">
        <v>18</v>
      </c>
      <c r="C1111" t="str">
        <f t="shared" si="120"/>
        <v>400</v>
      </c>
      <c r="D1111" t="str">
        <f>"615495"</f>
        <v>615495</v>
      </c>
      <c r="E1111" t="s">
        <v>19</v>
      </c>
      <c r="F1111" t="s">
        <v>1084</v>
      </c>
      <c r="G1111">
        <v>250</v>
      </c>
      <c r="H1111" t="str">
        <f>""</f>
        <v/>
      </c>
      <c r="I1111">
        <v>2.5</v>
      </c>
      <c r="J1111">
        <v>0</v>
      </c>
      <c r="K1111" t="str">
        <f t="shared" si="118"/>
        <v>31000</v>
      </c>
      <c r="L1111" t="str">
        <f t="shared" si="121"/>
        <v>0</v>
      </c>
      <c r="M1111" t="str">
        <f t="shared" si="121"/>
        <v>0</v>
      </c>
      <c r="N1111" t="str">
        <f t="shared" si="121"/>
        <v>0</v>
      </c>
    </row>
    <row r="1112" spans="1:14" x14ac:dyDescent="0.3">
      <c r="A1112" t="s">
        <v>17</v>
      </c>
      <c r="B1112" t="s">
        <v>18</v>
      </c>
      <c r="C1112" t="str">
        <f t="shared" si="120"/>
        <v>400</v>
      </c>
      <c r="D1112" t="str">
        <f>"615498"</f>
        <v>615498</v>
      </c>
      <c r="E1112" t="s">
        <v>19</v>
      </c>
      <c r="F1112" t="s">
        <v>1085</v>
      </c>
      <c r="G1112">
        <v>250</v>
      </c>
      <c r="H1112" t="str">
        <f>""</f>
        <v/>
      </c>
      <c r="I1112">
        <v>29.85</v>
      </c>
      <c r="J1112">
        <v>0</v>
      </c>
      <c r="K1112" t="str">
        <f t="shared" si="118"/>
        <v>31000</v>
      </c>
      <c r="L1112" t="str">
        <f t="shared" ref="L1112:N1131" si="122">"0"</f>
        <v>0</v>
      </c>
      <c r="M1112" t="str">
        <f t="shared" si="122"/>
        <v>0</v>
      </c>
      <c r="N1112" t="str">
        <f t="shared" si="122"/>
        <v>0</v>
      </c>
    </row>
    <row r="1113" spans="1:14" x14ac:dyDescent="0.3">
      <c r="A1113" t="s">
        <v>17</v>
      </c>
      <c r="B1113" t="s">
        <v>18</v>
      </c>
      <c r="C1113" t="str">
        <f t="shared" si="120"/>
        <v>400</v>
      </c>
      <c r="D1113" t="str">
        <f>"615555"</f>
        <v>615555</v>
      </c>
      <c r="E1113" t="s">
        <v>19</v>
      </c>
      <c r="F1113" t="s">
        <v>1086</v>
      </c>
      <c r="G1113">
        <v>250</v>
      </c>
      <c r="H1113" t="str">
        <f>""</f>
        <v/>
      </c>
      <c r="I1113">
        <v>12.75</v>
      </c>
      <c r="J1113">
        <v>0</v>
      </c>
      <c r="K1113" t="str">
        <f t="shared" si="118"/>
        <v>31000</v>
      </c>
      <c r="L1113" t="str">
        <f t="shared" si="122"/>
        <v>0</v>
      </c>
      <c r="M1113" t="str">
        <f t="shared" si="122"/>
        <v>0</v>
      </c>
      <c r="N1113" t="str">
        <f t="shared" si="122"/>
        <v>0</v>
      </c>
    </row>
    <row r="1114" spans="1:14" x14ac:dyDescent="0.3">
      <c r="A1114" t="s">
        <v>17</v>
      </c>
      <c r="B1114" t="s">
        <v>18</v>
      </c>
      <c r="C1114" t="str">
        <f t="shared" si="120"/>
        <v>400</v>
      </c>
      <c r="D1114" t="str">
        <f>"615560"</f>
        <v>615560</v>
      </c>
      <c r="E1114" t="s">
        <v>19</v>
      </c>
      <c r="F1114" t="s">
        <v>1087</v>
      </c>
      <c r="G1114">
        <v>250</v>
      </c>
      <c r="H1114" t="str">
        <f>""</f>
        <v/>
      </c>
      <c r="I1114">
        <v>9.9499999999999993</v>
      </c>
      <c r="J1114">
        <v>0</v>
      </c>
      <c r="K1114" t="str">
        <f t="shared" si="118"/>
        <v>31000</v>
      </c>
      <c r="L1114" t="str">
        <f t="shared" si="122"/>
        <v>0</v>
      </c>
      <c r="M1114" t="str">
        <f t="shared" si="122"/>
        <v>0</v>
      </c>
      <c r="N1114" t="str">
        <f t="shared" si="122"/>
        <v>0</v>
      </c>
    </row>
    <row r="1115" spans="1:14" x14ac:dyDescent="0.3">
      <c r="A1115" t="s">
        <v>17</v>
      </c>
      <c r="B1115" t="s">
        <v>18</v>
      </c>
      <c r="C1115" t="str">
        <f t="shared" si="120"/>
        <v>400</v>
      </c>
      <c r="D1115" t="str">
        <f>"615590"</f>
        <v>615590</v>
      </c>
      <c r="E1115" t="s">
        <v>19</v>
      </c>
      <c r="F1115" t="s">
        <v>1088</v>
      </c>
      <c r="G1115">
        <v>250</v>
      </c>
      <c r="H1115" t="str">
        <f>""</f>
        <v/>
      </c>
      <c r="I1115">
        <v>13.5</v>
      </c>
      <c r="J1115">
        <v>13.5</v>
      </c>
      <c r="K1115" t="str">
        <f t="shared" si="118"/>
        <v>31000</v>
      </c>
      <c r="L1115" t="str">
        <f t="shared" si="122"/>
        <v>0</v>
      </c>
      <c r="M1115" t="str">
        <f t="shared" si="122"/>
        <v>0</v>
      </c>
      <c r="N1115" t="str">
        <f t="shared" si="122"/>
        <v>0</v>
      </c>
    </row>
    <row r="1116" spans="1:14" x14ac:dyDescent="0.3">
      <c r="A1116" t="s">
        <v>17</v>
      </c>
      <c r="B1116" t="s">
        <v>18</v>
      </c>
      <c r="C1116" t="str">
        <f t="shared" si="120"/>
        <v>400</v>
      </c>
      <c r="D1116" t="str">
        <f>"615612"</f>
        <v>615612</v>
      </c>
      <c r="E1116" t="s">
        <v>19</v>
      </c>
      <c r="F1116" t="s">
        <v>1089</v>
      </c>
      <c r="G1116">
        <v>250</v>
      </c>
      <c r="H1116" t="str">
        <f>""</f>
        <v/>
      </c>
      <c r="I1116">
        <v>4.5</v>
      </c>
      <c r="J1116">
        <v>0</v>
      </c>
      <c r="K1116" t="str">
        <f t="shared" si="118"/>
        <v>31000</v>
      </c>
      <c r="L1116" t="str">
        <f t="shared" si="122"/>
        <v>0</v>
      </c>
      <c r="M1116" t="str">
        <f t="shared" si="122"/>
        <v>0</v>
      </c>
      <c r="N1116" t="str">
        <f t="shared" si="122"/>
        <v>0</v>
      </c>
    </row>
    <row r="1117" spans="1:14" x14ac:dyDescent="0.3">
      <c r="A1117" t="s">
        <v>17</v>
      </c>
      <c r="B1117" t="s">
        <v>18</v>
      </c>
      <c r="C1117" t="str">
        <f t="shared" si="120"/>
        <v>400</v>
      </c>
      <c r="D1117" t="str">
        <f>"615629"</f>
        <v>615629</v>
      </c>
      <c r="E1117" t="s">
        <v>19</v>
      </c>
      <c r="F1117" t="s">
        <v>1090</v>
      </c>
      <c r="G1117">
        <v>250</v>
      </c>
      <c r="H1117" t="str">
        <f>""</f>
        <v/>
      </c>
      <c r="I1117">
        <v>32</v>
      </c>
      <c r="J1117">
        <v>0</v>
      </c>
      <c r="K1117" t="str">
        <f t="shared" si="118"/>
        <v>31000</v>
      </c>
      <c r="L1117" t="str">
        <f t="shared" si="122"/>
        <v>0</v>
      </c>
      <c r="M1117" t="str">
        <f t="shared" si="122"/>
        <v>0</v>
      </c>
      <c r="N1117" t="str">
        <f t="shared" si="122"/>
        <v>0</v>
      </c>
    </row>
    <row r="1118" spans="1:14" x14ac:dyDescent="0.3">
      <c r="A1118" t="s">
        <v>17</v>
      </c>
      <c r="B1118" t="s">
        <v>18</v>
      </c>
      <c r="C1118" t="str">
        <f t="shared" si="120"/>
        <v>400</v>
      </c>
      <c r="D1118" t="str">
        <f>"615630"</f>
        <v>615630</v>
      </c>
      <c r="E1118" t="s">
        <v>19</v>
      </c>
      <c r="F1118" t="s">
        <v>1091</v>
      </c>
      <c r="G1118">
        <v>250</v>
      </c>
      <c r="H1118" t="str">
        <f>""</f>
        <v/>
      </c>
      <c r="I1118">
        <v>15</v>
      </c>
      <c r="J1118">
        <v>0</v>
      </c>
      <c r="K1118" t="str">
        <f t="shared" si="118"/>
        <v>31000</v>
      </c>
      <c r="L1118" t="str">
        <f t="shared" si="122"/>
        <v>0</v>
      </c>
      <c r="M1118" t="str">
        <f t="shared" si="122"/>
        <v>0</v>
      </c>
      <c r="N1118" t="str">
        <f t="shared" si="122"/>
        <v>0</v>
      </c>
    </row>
    <row r="1119" spans="1:14" x14ac:dyDescent="0.3">
      <c r="A1119" t="s">
        <v>17</v>
      </c>
      <c r="B1119" t="s">
        <v>18</v>
      </c>
      <c r="C1119" t="str">
        <f t="shared" si="120"/>
        <v>400</v>
      </c>
      <c r="D1119" t="str">
        <f>"615640"</f>
        <v>615640</v>
      </c>
      <c r="E1119" t="s">
        <v>19</v>
      </c>
      <c r="F1119" t="s">
        <v>1092</v>
      </c>
      <c r="G1119">
        <v>250</v>
      </c>
      <c r="H1119" t="str">
        <f>""</f>
        <v/>
      </c>
      <c r="I1119">
        <v>5.35</v>
      </c>
      <c r="J1119">
        <v>0</v>
      </c>
      <c r="K1119" t="str">
        <f t="shared" si="118"/>
        <v>31000</v>
      </c>
      <c r="L1119" t="str">
        <f t="shared" si="122"/>
        <v>0</v>
      </c>
      <c r="M1119" t="str">
        <f t="shared" si="122"/>
        <v>0</v>
      </c>
      <c r="N1119" t="str">
        <f t="shared" si="122"/>
        <v>0</v>
      </c>
    </row>
    <row r="1120" spans="1:14" x14ac:dyDescent="0.3">
      <c r="A1120" t="s">
        <v>17</v>
      </c>
      <c r="B1120" t="s">
        <v>18</v>
      </c>
      <c r="C1120" t="str">
        <f t="shared" si="120"/>
        <v>400</v>
      </c>
      <c r="D1120" t="str">
        <f>"615641"</f>
        <v>615641</v>
      </c>
      <c r="E1120" t="s">
        <v>19</v>
      </c>
      <c r="F1120" t="s">
        <v>1093</v>
      </c>
      <c r="G1120">
        <v>250</v>
      </c>
      <c r="H1120" t="str">
        <f>""</f>
        <v/>
      </c>
      <c r="I1120">
        <v>14</v>
      </c>
      <c r="J1120">
        <v>0</v>
      </c>
      <c r="K1120" t="str">
        <f t="shared" si="118"/>
        <v>31000</v>
      </c>
      <c r="L1120" t="str">
        <f t="shared" si="122"/>
        <v>0</v>
      </c>
      <c r="M1120" t="str">
        <f t="shared" si="122"/>
        <v>0</v>
      </c>
      <c r="N1120" t="str">
        <f t="shared" si="122"/>
        <v>0</v>
      </c>
    </row>
    <row r="1121" spans="1:14" x14ac:dyDescent="0.3">
      <c r="A1121" t="s">
        <v>17</v>
      </c>
      <c r="B1121" t="s">
        <v>18</v>
      </c>
      <c r="C1121" t="str">
        <f t="shared" si="120"/>
        <v>400</v>
      </c>
      <c r="D1121" t="str">
        <f>"615642"</f>
        <v>615642</v>
      </c>
      <c r="E1121" t="s">
        <v>19</v>
      </c>
      <c r="F1121" t="s">
        <v>1094</v>
      </c>
      <c r="G1121">
        <v>250</v>
      </c>
      <c r="H1121" t="str">
        <f>""</f>
        <v/>
      </c>
      <c r="I1121">
        <v>48.75</v>
      </c>
      <c r="J1121">
        <v>0</v>
      </c>
      <c r="K1121" t="str">
        <f t="shared" si="118"/>
        <v>31000</v>
      </c>
      <c r="L1121" t="str">
        <f t="shared" si="122"/>
        <v>0</v>
      </c>
      <c r="M1121" t="str">
        <f t="shared" si="122"/>
        <v>0</v>
      </c>
      <c r="N1121" t="str">
        <f t="shared" si="122"/>
        <v>0</v>
      </c>
    </row>
    <row r="1122" spans="1:14" x14ac:dyDescent="0.3">
      <c r="A1122" t="s">
        <v>17</v>
      </c>
      <c r="B1122" t="s">
        <v>18</v>
      </c>
      <c r="C1122" t="str">
        <f t="shared" si="120"/>
        <v>400</v>
      </c>
      <c r="D1122" t="str">
        <f>"615645"</f>
        <v>615645</v>
      </c>
      <c r="E1122" t="s">
        <v>19</v>
      </c>
      <c r="F1122" t="s">
        <v>1095</v>
      </c>
      <c r="G1122">
        <v>250</v>
      </c>
      <c r="H1122" t="str">
        <f>""</f>
        <v/>
      </c>
      <c r="I1122">
        <v>4.5</v>
      </c>
      <c r="J1122">
        <v>0</v>
      </c>
      <c r="K1122" t="str">
        <f t="shared" si="118"/>
        <v>31000</v>
      </c>
      <c r="L1122" t="str">
        <f t="shared" si="122"/>
        <v>0</v>
      </c>
      <c r="M1122" t="str">
        <f t="shared" si="122"/>
        <v>0</v>
      </c>
      <c r="N1122" t="str">
        <f t="shared" si="122"/>
        <v>0</v>
      </c>
    </row>
    <row r="1123" spans="1:14" x14ac:dyDescent="0.3">
      <c r="A1123" t="s">
        <v>17</v>
      </c>
      <c r="B1123" t="s">
        <v>18</v>
      </c>
      <c r="C1123" t="str">
        <f t="shared" si="120"/>
        <v>400</v>
      </c>
      <c r="D1123" t="str">
        <f>"615664"</f>
        <v>615664</v>
      </c>
      <c r="E1123" t="s">
        <v>19</v>
      </c>
      <c r="F1123" t="s">
        <v>1096</v>
      </c>
      <c r="G1123">
        <v>250</v>
      </c>
      <c r="I1123">
        <v>704.3</v>
      </c>
      <c r="J1123">
        <v>0</v>
      </c>
      <c r="K1123" t="str">
        <f t="shared" si="118"/>
        <v>31000</v>
      </c>
      <c r="L1123" t="str">
        <f t="shared" si="122"/>
        <v>0</v>
      </c>
      <c r="M1123" t="str">
        <f t="shared" si="122"/>
        <v>0</v>
      </c>
      <c r="N1123" t="str">
        <f t="shared" si="122"/>
        <v>0</v>
      </c>
    </row>
    <row r="1124" spans="1:14" x14ac:dyDescent="0.3">
      <c r="A1124" t="s">
        <v>17</v>
      </c>
      <c r="B1124" t="s">
        <v>18</v>
      </c>
      <c r="C1124" t="str">
        <f t="shared" si="120"/>
        <v>400</v>
      </c>
      <c r="D1124" t="str">
        <f>"615666"</f>
        <v>615666</v>
      </c>
      <c r="E1124" t="s">
        <v>19</v>
      </c>
      <c r="F1124" t="s">
        <v>1097</v>
      </c>
      <c r="G1124">
        <v>250</v>
      </c>
      <c r="H1124" t="str">
        <f>""</f>
        <v/>
      </c>
      <c r="I1124">
        <v>9.5</v>
      </c>
      <c r="J1124">
        <v>0</v>
      </c>
      <c r="K1124" t="str">
        <f t="shared" si="118"/>
        <v>31000</v>
      </c>
      <c r="L1124" t="str">
        <f t="shared" si="122"/>
        <v>0</v>
      </c>
      <c r="M1124" t="str">
        <f t="shared" si="122"/>
        <v>0</v>
      </c>
      <c r="N1124" t="str">
        <f t="shared" si="122"/>
        <v>0</v>
      </c>
    </row>
    <row r="1125" spans="1:14" x14ac:dyDescent="0.3">
      <c r="A1125" t="s">
        <v>17</v>
      </c>
      <c r="B1125" t="s">
        <v>18</v>
      </c>
      <c r="C1125" t="str">
        <f t="shared" si="120"/>
        <v>400</v>
      </c>
      <c r="D1125" t="str">
        <f>"615667"</f>
        <v>615667</v>
      </c>
      <c r="E1125" t="s">
        <v>19</v>
      </c>
      <c r="F1125" t="s">
        <v>1098</v>
      </c>
      <c r="G1125">
        <v>250</v>
      </c>
      <c r="H1125" t="str">
        <f>""</f>
        <v/>
      </c>
      <c r="I1125">
        <v>12.75</v>
      </c>
      <c r="J1125">
        <v>0</v>
      </c>
      <c r="K1125" t="str">
        <f t="shared" si="118"/>
        <v>31000</v>
      </c>
      <c r="L1125" t="str">
        <f t="shared" si="122"/>
        <v>0</v>
      </c>
      <c r="M1125" t="str">
        <f t="shared" si="122"/>
        <v>0</v>
      </c>
      <c r="N1125" t="str">
        <f t="shared" si="122"/>
        <v>0</v>
      </c>
    </row>
    <row r="1126" spans="1:14" x14ac:dyDescent="0.3">
      <c r="A1126" t="s">
        <v>17</v>
      </c>
      <c r="B1126" t="s">
        <v>18</v>
      </c>
      <c r="C1126" t="str">
        <f t="shared" si="120"/>
        <v>400</v>
      </c>
      <c r="D1126" t="str">
        <f>"615668"</f>
        <v>615668</v>
      </c>
      <c r="E1126" t="s">
        <v>19</v>
      </c>
      <c r="F1126" t="s">
        <v>1099</v>
      </c>
      <c r="G1126">
        <v>250</v>
      </c>
      <c r="H1126" t="str">
        <f>""</f>
        <v/>
      </c>
      <c r="I1126">
        <v>4.5</v>
      </c>
      <c r="J1126">
        <v>0</v>
      </c>
      <c r="K1126" t="str">
        <f t="shared" si="118"/>
        <v>31000</v>
      </c>
      <c r="L1126" t="str">
        <f t="shared" si="122"/>
        <v>0</v>
      </c>
      <c r="M1126" t="str">
        <f t="shared" si="122"/>
        <v>0</v>
      </c>
      <c r="N1126" t="str">
        <f t="shared" si="122"/>
        <v>0</v>
      </c>
    </row>
    <row r="1127" spans="1:14" x14ac:dyDescent="0.3">
      <c r="A1127" t="s">
        <v>17</v>
      </c>
      <c r="B1127" t="s">
        <v>18</v>
      </c>
      <c r="C1127" t="str">
        <f t="shared" si="120"/>
        <v>400</v>
      </c>
      <c r="D1127" t="str">
        <f>"615670"</f>
        <v>615670</v>
      </c>
      <c r="E1127" t="s">
        <v>19</v>
      </c>
      <c r="F1127" t="s">
        <v>1100</v>
      </c>
      <c r="G1127">
        <v>250</v>
      </c>
      <c r="H1127" t="str">
        <f>""</f>
        <v/>
      </c>
      <c r="I1127">
        <v>4.5</v>
      </c>
      <c r="J1127">
        <v>0</v>
      </c>
      <c r="K1127" t="str">
        <f t="shared" si="118"/>
        <v>31000</v>
      </c>
      <c r="L1127" t="str">
        <f t="shared" si="122"/>
        <v>0</v>
      </c>
      <c r="M1127" t="str">
        <f t="shared" si="122"/>
        <v>0</v>
      </c>
      <c r="N1127" t="str">
        <f t="shared" si="122"/>
        <v>0</v>
      </c>
    </row>
    <row r="1128" spans="1:14" x14ac:dyDescent="0.3">
      <c r="A1128" t="s">
        <v>17</v>
      </c>
      <c r="B1128" t="s">
        <v>18</v>
      </c>
      <c r="C1128" t="str">
        <f t="shared" si="120"/>
        <v>400</v>
      </c>
      <c r="D1128" t="str">
        <f>"615672"</f>
        <v>615672</v>
      </c>
      <c r="E1128" t="s">
        <v>19</v>
      </c>
      <c r="F1128" t="s">
        <v>1101</v>
      </c>
      <c r="G1128">
        <v>250</v>
      </c>
      <c r="H1128" t="str">
        <f>""</f>
        <v/>
      </c>
      <c r="I1128">
        <v>3.2</v>
      </c>
      <c r="J1128">
        <v>0</v>
      </c>
      <c r="K1128" t="str">
        <f t="shared" si="118"/>
        <v>31000</v>
      </c>
      <c r="L1128" t="str">
        <f t="shared" si="122"/>
        <v>0</v>
      </c>
      <c r="M1128" t="str">
        <f t="shared" si="122"/>
        <v>0</v>
      </c>
      <c r="N1128" t="str">
        <f t="shared" si="122"/>
        <v>0</v>
      </c>
    </row>
    <row r="1129" spans="1:14" x14ac:dyDescent="0.3">
      <c r="A1129" t="s">
        <v>17</v>
      </c>
      <c r="B1129" t="s">
        <v>18</v>
      </c>
      <c r="C1129" t="str">
        <f t="shared" si="120"/>
        <v>400</v>
      </c>
      <c r="D1129" t="str">
        <f>"615677"</f>
        <v>615677</v>
      </c>
      <c r="E1129" t="s">
        <v>19</v>
      </c>
      <c r="F1129" t="s">
        <v>1102</v>
      </c>
      <c r="G1129">
        <v>250</v>
      </c>
      <c r="H1129" t="str">
        <f>""</f>
        <v/>
      </c>
      <c r="I1129">
        <v>5.5</v>
      </c>
      <c r="J1129">
        <v>0</v>
      </c>
      <c r="K1129" t="str">
        <f t="shared" si="118"/>
        <v>31000</v>
      </c>
      <c r="L1129" t="str">
        <f t="shared" si="122"/>
        <v>0</v>
      </c>
      <c r="M1129" t="str">
        <f t="shared" si="122"/>
        <v>0</v>
      </c>
      <c r="N1129" t="str">
        <f t="shared" si="122"/>
        <v>0</v>
      </c>
    </row>
    <row r="1130" spans="1:14" x14ac:dyDescent="0.3">
      <c r="A1130" t="s">
        <v>17</v>
      </c>
      <c r="B1130" t="s">
        <v>18</v>
      </c>
      <c r="C1130" t="str">
        <f t="shared" si="120"/>
        <v>400</v>
      </c>
      <c r="D1130" t="str">
        <f>"615678"</f>
        <v>615678</v>
      </c>
      <c r="E1130" t="s">
        <v>19</v>
      </c>
      <c r="F1130" t="s">
        <v>1103</v>
      </c>
      <c r="G1130">
        <v>250</v>
      </c>
      <c r="H1130" t="str">
        <f>""</f>
        <v/>
      </c>
      <c r="I1130">
        <v>5.5</v>
      </c>
      <c r="J1130">
        <v>0</v>
      </c>
      <c r="K1130" t="str">
        <f t="shared" si="118"/>
        <v>31000</v>
      </c>
      <c r="L1130" t="str">
        <f t="shared" si="122"/>
        <v>0</v>
      </c>
      <c r="M1130" t="str">
        <f t="shared" si="122"/>
        <v>0</v>
      </c>
      <c r="N1130" t="str">
        <f t="shared" si="122"/>
        <v>0</v>
      </c>
    </row>
    <row r="1131" spans="1:14" x14ac:dyDescent="0.3">
      <c r="A1131" t="s">
        <v>17</v>
      </c>
      <c r="B1131" t="s">
        <v>18</v>
      </c>
      <c r="C1131" t="str">
        <f t="shared" si="120"/>
        <v>400</v>
      </c>
      <c r="D1131" t="str">
        <f>"615681"</f>
        <v>615681</v>
      </c>
      <c r="E1131" t="s">
        <v>19</v>
      </c>
      <c r="F1131" t="s">
        <v>1104</v>
      </c>
      <c r="G1131">
        <v>250</v>
      </c>
      <c r="H1131" t="str">
        <f>""</f>
        <v/>
      </c>
      <c r="I1131">
        <v>9.5</v>
      </c>
      <c r="J1131">
        <v>0</v>
      </c>
      <c r="K1131" t="str">
        <f t="shared" ref="K1131:K1194" si="123">"31000"</f>
        <v>31000</v>
      </c>
      <c r="L1131" t="str">
        <f t="shared" si="122"/>
        <v>0</v>
      </c>
      <c r="M1131" t="str">
        <f t="shared" si="122"/>
        <v>0</v>
      </c>
      <c r="N1131" t="str">
        <f t="shared" si="122"/>
        <v>0</v>
      </c>
    </row>
    <row r="1132" spans="1:14" x14ac:dyDescent="0.3">
      <c r="A1132" t="s">
        <v>17</v>
      </c>
      <c r="B1132" t="s">
        <v>18</v>
      </c>
      <c r="C1132" t="str">
        <f t="shared" si="120"/>
        <v>400</v>
      </c>
      <c r="D1132" t="str">
        <f>"615682"</f>
        <v>615682</v>
      </c>
      <c r="E1132" t="s">
        <v>19</v>
      </c>
      <c r="F1132" t="s">
        <v>1105</v>
      </c>
      <c r="G1132">
        <v>250</v>
      </c>
      <c r="H1132" t="str">
        <f>""</f>
        <v/>
      </c>
      <c r="I1132">
        <v>7.5</v>
      </c>
      <c r="J1132">
        <v>0</v>
      </c>
      <c r="K1132" t="str">
        <f t="shared" si="123"/>
        <v>31000</v>
      </c>
      <c r="L1132" t="str">
        <f t="shared" ref="L1132:N1151" si="124">"0"</f>
        <v>0</v>
      </c>
      <c r="M1132" t="str">
        <f t="shared" si="124"/>
        <v>0</v>
      </c>
      <c r="N1132" t="str">
        <f t="shared" si="124"/>
        <v>0</v>
      </c>
    </row>
    <row r="1133" spans="1:14" x14ac:dyDescent="0.3">
      <c r="A1133" t="s">
        <v>17</v>
      </c>
      <c r="B1133" t="s">
        <v>18</v>
      </c>
      <c r="C1133" t="str">
        <f t="shared" si="120"/>
        <v>400</v>
      </c>
      <c r="D1133" t="str">
        <f>"615684"</f>
        <v>615684</v>
      </c>
      <c r="E1133" t="s">
        <v>19</v>
      </c>
      <c r="F1133" t="s">
        <v>1106</v>
      </c>
      <c r="G1133">
        <v>250</v>
      </c>
      <c r="H1133" t="str">
        <f>""</f>
        <v/>
      </c>
      <c r="I1133">
        <v>10.5</v>
      </c>
      <c r="J1133">
        <v>0</v>
      </c>
      <c r="K1133" t="str">
        <f t="shared" si="123"/>
        <v>31000</v>
      </c>
      <c r="L1133" t="str">
        <f t="shared" si="124"/>
        <v>0</v>
      </c>
      <c r="M1133" t="str">
        <f t="shared" si="124"/>
        <v>0</v>
      </c>
      <c r="N1133" t="str">
        <f t="shared" si="124"/>
        <v>0</v>
      </c>
    </row>
    <row r="1134" spans="1:14" x14ac:dyDescent="0.3">
      <c r="A1134" t="s">
        <v>17</v>
      </c>
      <c r="B1134" t="s">
        <v>18</v>
      </c>
      <c r="C1134" t="str">
        <f t="shared" si="120"/>
        <v>400</v>
      </c>
      <c r="D1134" t="str">
        <f>"615685"</f>
        <v>615685</v>
      </c>
      <c r="E1134" t="s">
        <v>19</v>
      </c>
      <c r="F1134" t="s">
        <v>1107</v>
      </c>
      <c r="G1134">
        <v>250</v>
      </c>
      <c r="H1134" t="str">
        <f>""</f>
        <v/>
      </c>
      <c r="I1134">
        <v>9.5</v>
      </c>
      <c r="J1134">
        <v>0</v>
      </c>
      <c r="K1134" t="str">
        <f t="shared" si="123"/>
        <v>31000</v>
      </c>
      <c r="L1134" t="str">
        <f t="shared" si="124"/>
        <v>0</v>
      </c>
      <c r="M1134" t="str">
        <f t="shared" si="124"/>
        <v>0</v>
      </c>
      <c r="N1134" t="str">
        <f t="shared" si="124"/>
        <v>0</v>
      </c>
    </row>
    <row r="1135" spans="1:14" x14ac:dyDescent="0.3">
      <c r="A1135" t="s">
        <v>17</v>
      </c>
      <c r="B1135" t="s">
        <v>18</v>
      </c>
      <c r="C1135" t="str">
        <f t="shared" si="120"/>
        <v>400</v>
      </c>
      <c r="D1135" t="str">
        <f>"615686"</f>
        <v>615686</v>
      </c>
      <c r="E1135" t="s">
        <v>19</v>
      </c>
      <c r="F1135" t="s">
        <v>1108</v>
      </c>
      <c r="G1135">
        <v>250</v>
      </c>
      <c r="H1135" t="str">
        <f>""</f>
        <v/>
      </c>
      <c r="I1135">
        <v>8.5</v>
      </c>
      <c r="J1135">
        <v>0</v>
      </c>
      <c r="K1135" t="str">
        <f t="shared" si="123"/>
        <v>31000</v>
      </c>
      <c r="L1135" t="str">
        <f t="shared" si="124"/>
        <v>0</v>
      </c>
      <c r="M1135" t="str">
        <f t="shared" si="124"/>
        <v>0</v>
      </c>
      <c r="N1135" t="str">
        <f t="shared" si="124"/>
        <v>0</v>
      </c>
    </row>
    <row r="1136" spans="1:14" x14ac:dyDescent="0.3">
      <c r="A1136" t="s">
        <v>17</v>
      </c>
      <c r="B1136" t="s">
        <v>18</v>
      </c>
      <c r="C1136" t="str">
        <f t="shared" si="120"/>
        <v>400</v>
      </c>
      <c r="D1136" t="str">
        <f>"615690"</f>
        <v>615690</v>
      </c>
      <c r="E1136" t="s">
        <v>19</v>
      </c>
      <c r="F1136" t="s">
        <v>1109</v>
      </c>
      <c r="G1136">
        <v>250</v>
      </c>
      <c r="H1136" t="str">
        <f>""</f>
        <v/>
      </c>
      <c r="I1136">
        <v>15.99</v>
      </c>
      <c r="J1136">
        <v>0</v>
      </c>
      <c r="K1136" t="str">
        <f t="shared" si="123"/>
        <v>31000</v>
      </c>
      <c r="L1136" t="str">
        <f t="shared" si="124"/>
        <v>0</v>
      </c>
      <c r="M1136" t="str">
        <f t="shared" si="124"/>
        <v>0</v>
      </c>
      <c r="N1136" t="str">
        <f t="shared" si="124"/>
        <v>0</v>
      </c>
    </row>
    <row r="1137" spans="1:14" x14ac:dyDescent="0.3">
      <c r="A1137" t="s">
        <v>17</v>
      </c>
      <c r="B1137" t="s">
        <v>18</v>
      </c>
      <c r="C1137" t="str">
        <f t="shared" si="120"/>
        <v>400</v>
      </c>
      <c r="D1137" t="str">
        <f>"615691"</f>
        <v>615691</v>
      </c>
      <c r="E1137" t="s">
        <v>19</v>
      </c>
      <c r="F1137" t="s">
        <v>1110</v>
      </c>
      <c r="G1137">
        <v>250</v>
      </c>
      <c r="H1137" t="str">
        <f>""</f>
        <v/>
      </c>
      <c r="I1137">
        <v>12.75</v>
      </c>
      <c r="J1137">
        <v>0</v>
      </c>
      <c r="K1137" t="str">
        <f t="shared" si="123"/>
        <v>31000</v>
      </c>
      <c r="L1137" t="str">
        <f t="shared" si="124"/>
        <v>0</v>
      </c>
      <c r="M1137" t="str">
        <f t="shared" si="124"/>
        <v>0</v>
      </c>
      <c r="N1137" t="str">
        <f t="shared" si="124"/>
        <v>0</v>
      </c>
    </row>
    <row r="1138" spans="1:14" x14ac:dyDescent="0.3">
      <c r="A1138" t="s">
        <v>17</v>
      </c>
      <c r="B1138" t="s">
        <v>18</v>
      </c>
      <c r="C1138" t="str">
        <f t="shared" si="120"/>
        <v>400</v>
      </c>
      <c r="D1138" t="str">
        <f>"615692"</f>
        <v>615692</v>
      </c>
      <c r="E1138" t="s">
        <v>19</v>
      </c>
      <c r="F1138" t="s">
        <v>1111</v>
      </c>
      <c r="G1138">
        <v>250</v>
      </c>
      <c r="H1138" t="str">
        <f>""</f>
        <v/>
      </c>
      <c r="I1138">
        <v>1</v>
      </c>
      <c r="J1138">
        <v>0</v>
      </c>
      <c r="K1138" t="str">
        <f t="shared" si="123"/>
        <v>31000</v>
      </c>
      <c r="L1138" t="str">
        <f t="shared" si="124"/>
        <v>0</v>
      </c>
      <c r="M1138" t="str">
        <f t="shared" si="124"/>
        <v>0</v>
      </c>
      <c r="N1138" t="str">
        <f t="shared" si="124"/>
        <v>0</v>
      </c>
    </row>
    <row r="1139" spans="1:14" x14ac:dyDescent="0.3">
      <c r="A1139" t="s">
        <v>17</v>
      </c>
      <c r="B1139" t="s">
        <v>18</v>
      </c>
      <c r="C1139" t="str">
        <f t="shared" si="120"/>
        <v>400</v>
      </c>
      <c r="D1139" t="str">
        <f>"615694"</f>
        <v>615694</v>
      </c>
      <c r="E1139" t="s">
        <v>19</v>
      </c>
      <c r="F1139" t="s">
        <v>1112</v>
      </c>
      <c r="G1139">
        <v>250</v>
      </c>
      <c r="H1139" t="str">
        <f>""</f>
        <v/>
      </c>
      <c r="I1139">
        <v>6.5</v>
      </c>
      <c r="J1139">
        <v>0</v>
      </c>
      <c r="K1139" t="str">
        <f t="shared" si="123"/>
        <v>31000</v>
      </c>
      <c r="L1139" t="str">
        <f t="shared" si="124"/>
        <v>0</v>
      </c>
      <c r="M1139" t="str">
        <f t="shared" si="124"/>
        <v>0</v>
      </c>
      <c r="N1139" t="str">
        <f t="shared" si="124"/>
        <v>0</v>
      </c>
    </row>
    <row r="1140" spans="1:14" x14ac:dyDescent="0.3">
      <c r="A1140" t="s">
        <v>17</v>
      </c>
      <c r="B1140" t="s">
        <v>18</v>
      </c>
      <c r="C1140" t="str">
        <f t="shared" si="120"/>
        <v>400</v>
      </c>
      <c r="D1140" t="str">
        <f>"615700"</f>
        <v>615700</v>
      </c>
      <c r="E1140" t="s">
        <v>19</v>
      </c>
      <c r="F1140" t="s">
        <v>1113</v>
      </c>
      <c r="G1140">
        <v>250</v>
      </c>
      <c r="H1140" t="str">
        <f>""</f>
        <v/>
      </c>
      <c r="I1140">
        <v>12.15</v>
      </c>
      <c r="J1140">
        <v>0</v>
      </c>
      <c r="K1140" t="str">
        <f t="shared" si="123"/>
        <v>31000</v>
      </c>
      <c r="L1140" t="str">
        <f t="shared" si="124"/>
        <v>0</v>
      </c>
      <c r="M1140" t="str">
        <f t="shared" si="124"/>
        <v>0</v>
      </c>
      <c r="N1140" t="str">
        <f t="shared" si="124"/>
        <v>0</v>
      </c>
    </row>
    <row r="1141" spans="1:14" x14ac:dyDescent="0.3">
      <c r="A1141" t="s">
        <v>17</v>
      </c>
      <c r="B1141" t="s">
        <v>18</v>
      </c>
      <c r="C1141" t="str">
        <f t="shared" si="120"/>
        <v>400</v>
      </c>
      <c r="D1141" t="str">
        <f>"615752"</f>
        <v>615752</v>
      </c>
      <c r="E1141" t="s">
        <v>19</v>
      </c>
      <c r="F1141" t="s">
        <v>1114</v>
      </c>
      <c r="G1141">
        <v>250</v>
      </c>
      <c r="H1141" t="str">
        <f>""</f>
        <v/>
      </c>
      <c r="I1141">
        <v>56</v>
      </c>
      <c r="J1141">
        <v>0</v>
      </c>
      <c r="K1141" t="str">
        <f t="shared" si="123"/>
        <v>31000</v>
      </c>
      <c r="L1141" t="str">
        <f t="shared" si="124"/>
        <v>0</v>
      </c>
      <c r="M1141" t="str">
        <f t="shared" si="124"/>
        <v>0</v>
      </c>
      <c r="N1141" t="str">
        <f t="shared" si="124"/>
        <v>0</v>
      </c>
    </row>
    <row r="1142" spans="1:14" x14ac:dyDescent="0.3">
      <c r="A1142" t="s">
        <v>17</v>
      </c>
      <c r="B1142" t="s">
        <v>18</v>
      </c>
      <c r="C1142" t="str">
        <f t="shared" si="120"/>
        <v>400</v>
      </c>
      <c r="D1142" t="str">
        <f>"615753"</f>
        <v>615753</v>
      </c>
      <c r="E1142" t="s">
        <v>19</v>
      </c>
      <c r="F1142" t="s">
        <v>1115</v>
      </c>
      <c r="G1142">
        <v>250</v>
      </c>
      <c r="H1142" t="str">
        <f>""</f>
        <v/>
      </c>
      <c r="I1142">
        <v>69</v>
      </c>
      <c r="J1142">
        <v>0</v>
      </c>
      <c r="K1142" t="str">
        <f t="shared" si="123"/>
        <v>31000</v>
      </c>
      <c r="L1142" t="str">
        <f t="shared" si="124"/>
        <v>0</v>
      </c>
      <c r="M1142" t="str">
        <f t="shared" si="124"/>
        <v>0</v>
      </c>
      <c r="N1142" t="str">
        <f t="shared" si="124"/>
        <v>0</v>
      </c>
    </row>
    <row r="1143" spans="1:14" x14ac:dyDescent="0.3">
      <c r="A1143" t="s">
        <v>17</v>
      </c>
      <c r="B1143" t="s">
        <v>18</v>
      </c>
      <c r="C1143" t="str">
        <f t="shared" si="120"/>
        <v>400</v>
      </c>
      <c r="D1143" t="str">
        <f>"615760"</f>
        <v>615760</v>
      </c>
      <c r="E1143" t="s">
        <v>19</v>
      </c>
      <c r="F1143" t="s">
        <v>1116</v>
      </c>
      <c r="G1143">
        <v>250</v>
      </c>
      <c r="H1143" t="str">
        <f>""</f>
        <v/>
      </c>
      <c r="I1143">
        <v>5.8</v>
      </c>
      <c r="J1143">
        <v>0</v>
      </c>
      <c r="K1143" t="str">
        <f t="shared" si="123"/>
        <v>31000</v>
      </c>
      <c r="L1143" t="str">
        <f t="shared" si="124"/>
        <v>0</v>
      </c>
      <c r="M1143" t="str">
        <f t="shared" si="124"/>
        <v>0</v>
      </c>
      <c r="N1143" t="str">
        <f t="shared" si="124"/>
        <v>0</v>
      </c>
    </row>
    <row r="1144" spans="1:14" x14ac:dyDescent="0.3">
      <c r="A1144" t="s">
        <v>17</v>
      </c>
      <c r="B1144" t="s">
        <v>18</v>
      </c>
      <c r="C1144" t="str">
        <f t="shared" si="120"/>
        <v>400</v>
      </c>
      <c r="D1144" t="str">
        <f>"615770"</f>
        <v>615770</v>
      </c>
      <c r="E1144" t="s">
        <v>19</v>
      </c>
      <c r="F1144" t="s">
        <v>1117</v>
      </c>
      <c r="G1144">
        <v>250</v>
      </c>
      <c r="H1144" t="str">
        <f>""</f>
        <v/>
      </c>
      <c r="I1144">
        <v>4.5</v>
      </c>
      <c r="J1144">
        <v>0</v>
      </c>
      <c r="K1144" t="str">
        <f t="shared" si="123"/>
        <v>31000</v>
      </c>
      <c r="L1144" t="str">
        <f t="shared" si="124"/>
        <v>0</v>
      </c>
      <c r="M1144" t="str">
        <f t="shared" si="124"/>
        <v>0</v>
      </c>
      <c r="N1144" t="str">
        <f t="shared" si="124"/>
        <v>0</v>
      </c>
    </row>
    <row r="1145" spans="1:14" x14ac:dyDescent="0.3">
      <c r="A1145" t="s">
        <v>17</v>
      </c>
      <c r="B1145" t="s">
        <v>18</v>
      </c>
      <c r="C1145" t="str">
        <f t="shared" si="120"/>
        <v>400</v>
      </c>
      <c r="D1145" t="str">
        <f>"615772"</f>
        <v>615772</v>
      </c>
      <c r="E1145" t="s">
        <v>19</v>
      </c>
      <c r="F1145" t="s">
        <v>1118</v>
      </c>
      <c r="G1145">
        <v>250</v>
      </c>
      <c r="H1145" t="str">
        <f>""</f>
        <v/>
      </c>
      <c r="I1145">
        <v>4.5</v>
      </c>
      <c r="J1145">
        <v>0</v>
      </c>
      <c r="K1145" t="str">
        <f t="shared" si="123"/>
        <v>31000</v>
      </c>
      <c r="L1145" t="str">
        <f t="shared" si="124"/>
        <v>0</v>
      </c>
      <c r="M1145" t="str">
        <f t="shared" si="124"/>
        <v>0</v>
      </c>
      <c r="N1145" t="str">
        <f t="shared" si="124"/>
        <v>0</v>
      </c>
    </row>
    <row r="1146" spans="1:14" x14ac:dyDescent="0.3">
      <c r="A1146" t="s">
        <v>17</v>
      </c>
      <c r="B1146" t="s">
        <v>18</v>
      </c>
      <c r="C1146" t="str">
        <f t="shared" si="120"/>
        <v>400</v>
      </c>
      <c r="D1146" t="str">
        <f>"615774"</f>
        <v>615774</v>
      </c>
      <c r="E1146" t="s">
        <v>19</v>
      </c>
      <c r="F1146" t="s">
        <v>1119</v>
      </c>
      <c r="G1146">
        <v>250</v>
      </c>
      <c r="H1146" t="str">
        <f>""</f>
        <v/>
      </c>
      <c r="I1146">
        <v>29.85</v>
      </c>
      <c r="J1146">
        <v>0</v>
      </c>
      <c r="K1146" t="str">
        <f t="shared" si="123"/>
        <v>31000</v>
      </c>
      <c r="L1146" t="str">
        <f t="shared" si="124"/>
        <v>0</v>
      </c>
      <c r="M1146" t="str">
        <f t="shared" si="124"/>
        <v>0</v>
      </c>
      <c r="N1146" t="str">
        <f t="shared" si="124"/>
        <v>0</v>
      </c>
    </row>
    <row r="1147" spans="1:14" x14ac:dyDescent="0.3">
      <c r="A1147" t="s">
        <v>17</v>
      </c>
      <c r="B1147" t="s">
        <v>18</v>
      </c>
      <c r="C1147" t="str">
        <f t="shared" si="120"/>
        <v>400</v>
      </c>
      <c r="D1147" t="str">
        <f>"615789"</f>
        <v>615789</v>
      </c>
      <c r="E1147" t="s">
        <v>19</v>
      </c>
      <c r="F1147" t="s">
        <v>1120</v>
      </c>
      <c r="G1147">
        <v>250</v>
      </c>
      <c r="H1147" t="str">
        <f>""</f>
        <v/>
      </c>
      <c r="I1147">
        <v>27.9</v>
      </c>
      <c r="J1147">
        <v>0</v>
      </c>
      <c r="K1147" t="str">
        <f t="shared" si="123"/>
        <v>31000</v>
      </c>
      <c r="L1147" t="str">
        <f t="shared" si="124"/>
        <v>0</v>
      </c>
      <c r="M1147" t="str">
        <f t="shared" si="124"/>
        <v>0</v>
      </c>
      <c r="N1147" t="str">
        <f t="shared" si="124"/>
        <v>0</v>
      </c>
    </row>
    <row r="1148" spans="1:14" x14ac:dyDescent="0.3">
      <c r="A1148" t="s">
        <v>17</v>
      </c>
      <c r="B1148" t="s">
        <v>18</v>
      </c>
      <c r="C1148" t="str">
        <f t="shared" si="120"/>
        <v>400</v>
      </c>
      <c r="D1148" t="str">
        <f>"615843"</f>
        <v>615843</v>
      </c>
      <c r="E1148" t="s">
        <v>19</v>
      </c>
      <c r="F1148" t="s">
        <v>1121</v>
      </c>
      <c r="G1148">
        <v>250</v>
      </c>
      <c r="H1148" t="str">
        <f>""</f>
        <v/>
      </c>
      <c r="I1148">
        <v>25</v>
      </c>
      <c r="J1148">
        <v>0</v>
      </c>
      <c r="K1148" t="str">
        <f t="shared" si="123"/>
        <v>31000</v>
      </c>
      <c r="L1148" t="str">
        <f t="shared" si="124"/>
        <v>0</v>
      </c>
      <c r="M1148" t="str">
        <f t="shared" si="124"/>
        <v>0</v>
      </c>
      <c r="N1148" t="str">
        <f t="shared" si="124"/>
        <v>0</v>
      </c>
    </row>
    <row r="1149" spans="1:14" x14ac:dyDescent="0.3">
      <c r="A1149" t="s">
        <v>17</v>
      </c>
      <c r="B1149" t="s">
        <v>18</v>
      </c>
      <c r="C1149" t="str">
        <f t="shared" si="120"/>
        <v>400</v>
      </c>
      <c r="D1149" t="str">
        <f>"615846"</f>
        <v>615846</v>
      </c>
      <c r="E1149" t="s">
        <v>19</v>
      </c>
      <c r="F1149" t="s">
        <v>1122</v>
      </c>
      <c r="G1149">
        <v>250</v>
      </c>
      <c r="H1149" t="str">
        <f>""</f>
        <v/>
      </c>
      <c r="I1149">
        <v>3.5</v>
      </c>
      <c r="J1149">
        <v>0</v>
      </c>
      <c r="K1149" t="str">
        <f t="shared" si="123"/>
        <v>31000</v>
      </c>
      <c r="L1149" t="str">
        <f t="shared" si="124"/>
        <v>0</v>
      </c>
      <c r="M1149" t="str">
        <f t="shared" si="124"/>
        <v>0</v>
      </c>
      <c r="N1149" t="str">
        <f t="shared" si="124"/>
        <v>0</v>
      </c>
    </row>
    <row r="1150" spans="1:14" x14ac:dyDescent="0.3">
      <c r="A1150" t="s">
        <v>17</v>
      </c>
      <c r="B1150" t="s">
        <v>18</v>
      </c>
      <c r="C1150" t="str">
        <f t="shared" si="120"/>
        <v>400</v>
      </c>
      <c r="D1150" t="str">
        <f>"615847"</f>
        <v>615847</v>
      </c>
      <c r="E1150" t="s">
        <v>19</v>
      </c>
      <c r="F1150" t="s">
        <v>1123</v>
      </c>
      <c r="G1150">
        <v>250</v>
      </c>
      <c r="H1150" t="str">
        <f>""</f>
        <v/>
      </c>
      <c r="I1150">
        <v>12.75</v>
      </c>
      <c r="J1150">
        <v>0</v>
      </c>
      <c r="K1150" t="str">
        <f t="shared" si="123"/>
        <v>31000</v>
      </c>
      <c r="L1150" t="str">
        <f t="shared" si="124"/>
        <v>0</v>
      </c>
      <c r="M1150" t="str">
        <f t="shared" si="124"/>
        <v>0</v>
      </c>
      <c r="N1150" t="str">
        <f t="shared" si="124"/>
        <v>0</v>
      </c>
    </row>
    <row r="1151" spans="1:14" x14ac:dyDescent="0.3">
      <c r="A1151" t="s">
        <v>17</v>
      </c>
      <c r="B1151" t="s">
        <v>18</v>
      </c>
      <c r="C1151" t="str">
        <f t="shared" si="120"/>
        <v>400</v>
      </c>
      <c r="D1151" t="str">
        <f>"615849"</f>
        <v>615849</v>
      </c>
      <c r="E1151" t="s">
        <v>19</v>
      </c>
      <c r="F1151" t="s">
        <v>1124</v>
      </c>
      <c r="G1151">
        <v>250</v>
      </c>
      <c r="H1151" t="str">
        <f>""</f>
        <v/>
      </c>
      <c r="I1151">
        <v>13.75</v>
      </c>
      <c r="J1151">
        <v>0</v>
      </c>
      <c r="K1151" t="str">
        <f t="shared" si="123"/>
        <v>31000</v>
      </c>
      <c r="L1151" t="str">
        <f t="shared" si="124"/>
        <v>0</v>
      </c>
      <c r="M1151" t="str">
        <f t="shared" si="124"/>
        <v>0</v>
      </c>
      <c r="N1151" t="str">
        <f t="shared" si="124"/>
        <v>0</v>
      </c>
    </row>
    <row r="1152" spans="1:14" x14ac:dyDescent="0.3">
      <c r="A1152" t="s">
        <v>17</v>
      </c>
      <c r="B1152" t="s">
        <v>18</v>
      </c>
      <c r="C1152" t="str">
        <f t="shared" si="120"/>
        <v>400</v>
      </c>
      <c r="D1152" t="str">
        <f>"615855"</f>
        <v>615855</v>
      </c>
      <c r="E1152" t="s">
        <v>19</v>
      </c>
      <c r="F1152" t="s">
        <v>1125</v>
      </c>
      <c r="G1152">
        <v>250</v>
      </c>
      <c r="I1152" s="1">
        <v>1010.61</v>
      </c>
      <c r="J1152">
        <v>0</v>
      </c>
      <c r="K1152" t="str">
        <f t="shared" si="123"/>
        <v>31000</v>
      </c>
    </row>
    <row r="1153" spans="1:14" x14ac:dyDescent="0.3">
      <c r="A1153" t="s">
        <v>17</v>
      </c>
      <c r="B1153" t="s">
        <v>18</v>
      </c>
      <c r="C1153" t="str">
        <f t="shared" si="120"/>
        <v>400</v>
      </c>
      <c r="D1153" t="str">
        <f>"615859"</f>
        <v>615859</v>
      </c>
      <c r="E1153" t="s">
        <v>19</v>
      </c>
      <c r="F1153" t="s">
        <v>1126</v>
      </c>
      <c r="G1153">
        <v>250</v>
      </c>
      <c r="H1153" t="str">
        <f>""</f>
        <v/>
      </c>
      <c r="I1153">
        <v>9.5</v>
      </c>
      <c r="J1153">
        <v>0</v>
      </c>
      <c r="K1153" t="str">
        <f t="shared" si="123"/>
        <v>31000</v>
      </c>
      <c r="L1153" t="str">
        <f t="shared" ref="L1153:N1154" si="125">"0"</f>
        <v>0</v>
      </c>
      <c r="M1153" t="str">
        <f t="shared" si="125"/>
        <v>0</v>
      </c>
      <c r="N1153" t="str">
        <f t="shared" si="125"/>
        <v>0</v>
      </c>
    </row>
    <row r="1154" spans="1:14" x14ac:dyDescent="0.3">
      <c r="A1154" t="s">
        <v>17</v>
      </c>
      <c r="B1154" t="s">
        <v>18</v>
      </c>
      <c r="C1154" t="str">
        <f t="shared" ref="C1154:C1217" si="126">"400"</f>
        <v>400</v>
      </c>
      <c r="D1154" t="str">
        <f>"615879"</f>
        <v>615879</v>
      </c>
      <c r="E1154" t="s">
        <v>19</v>
      </c>
      <c r="F1154" t="s">
        <v>1127</v>
      </c>
      <c r="G1154">
        <v>250</v>
      </c>
      <c r="H1154" t="str">
        <f>""</f>
        <v/>
      </c>
      <c r="I1154">
        <v>14.95</v>
      </c>
      <c r="J1154">
        <v>0</v>
      </c>
      <c r="K1154" t="str">
        <f t="shared" si="123"/>
        <v>31000</v>
      </c>
      <c r="L1154" t="str">
        <f t="shared" si="125"/>
        <v>0</v>
      </c>
      <c r="M1154" t="str">
        <f t="shared" si="125"/>
        <v>0</v>
      </c>
      <c r="N1154" t="str">
        <f t="shared" si="125"/>
        <v>0</v>
      </c>
    </row>
    <row r="1155" spans="1:14" x14ac:dyDescent="0.3">
      <c r="A1155" t="s">
        <v>17</v>
      </c>
      <c r="B1155" t="s">
        <v>18</v>
      </c>
      <c r="C1155" t="str">
        <f t="shared" si="126"/>
        <v>400</v>
      </c>
      <c r="D1155" t="str">
        <f>"615890"</f>
        <v>615890</v>
      </c>
      <c r="E1155" t="s">
        <v>19</v>
      </c>
      <c r="F1155" t="s">
        <v>1128</v>
      </c>
      <c r="G1155">
        <v>250</v>
      </c>
      <c r="I1155">
        <v>4.5</v>
      </c>
      <c r="J1155">
        <v>0</v>
      </c>
      <c r="K1155" t="str">
        <f t="shared" si="123"/>
        <v>31000</v>
      </c>
    </row>
    <row r="1156" spans="1:14" x14ac:dyDescent="0.3">
      <c r="A1156" t="s">
        <v>17</v>
      </c>
      <c r="B1156" t="s">
        <v>18</v>
      </c>
      <c r="C1156" t="str">
        <f t="shared" si="126"/>
        <v>400</v>
      </c>
      <c r="D1156" t="str">
        <f>"615891"</f>
        <v>615891</v>
      </c>
      <c r="E1156" t="s">
        <v>19</v>
      </c>
      <c r="F1156" t="s">
        <v>1129</v>
      </c>
      <c r="G1156">
        <v>250</v>
      </c>
      <c r="I1156">
        <v>2</v>
      </c>
      <c r="J1156">
        <v>0</v>
      </c>
      <c r="K1156" t="str">
        <f t="shared" si="123"/>
        <v>31000</v>
      </c>
    </row>
    <row r="1157" spans="1:14" x14ac:dyDescent="0.3">
      <c r="A1157" t="s">
        <v>17</v>
      </c>
      <c r="B1157" t="s">
        <v>18</v>
      </c>
      <c r="C1157" t="str">
        <f t="shared" si="126"/>
        <v>400</v>
      </c>
      <c r="D1157" t="str">
        <f>"615892"</f>
        <v>615892</v>
      </c>
      <c r="E1157" t="s">
        <v>19</v>
      </c>
      <c r="F1157" t="s">
        <v>1130</v>
      </c>
      <c r="G1157">
        <v>250</v>
      </c>
      <c r="I1157">
        <v>15</v>
      </c>
      <c r="J1157">
        <v>0</v>
      </c>
      <c r="K1157" t="str">
        <f t="shared" si="123"/>
        <v>31000</v>
      </c>
    </row>
    <row r="1158" spans="1:14" x14ac:dyDescent="0.3">
      <c r="A1158" t="s">
        <v>17</v>
      </c>
      <c r="B1158" t="s">
        <v>18</v>
      </c>
      <c r="C1158" t="str">
        <f t="shared" si="126"/>
        <v>400</v>
      </c>
      <c r="D1158" t="str">
        <f>"615897"</f>
        <v>615897</v>
      </c>
      <c r="E1158" t="s">
        <v>19</v>
      </c>
      <c r="F1158" t="s">
        <v>1131</v>
      </c>
      <c r="G1158">
        <v>250</v>
      </c>
      <c r="H1158" t="str">
        <f>""</f>
        <v/>
      </c>
      <c r="I1158">
        <v>15</v>
      </c>
      <c r="J1158">
        <v>0</v>
      </c>
      <c r="K1158" t="str">
        <f t="shared" si="123"/>
        <v>31000</v>
      </c>
      <c r="L1158" t="str">
        <f t="shared" ref="L1158:N1160" si="127">"0"</f>
        <v>0</v>
      </c>
      <c r="M1158" t="str">
        <f t="shared" si="127"/>
        <v>0</v>
      </c>
      <c r="N1158" t="str">
        <f t="shared" si="127"/>
        <v>0</v>
      </c>
    </row>
    <row r="1159" spans="1:14" x14ac:dyDescent="0.3">
      <c r="A1159" t="s">
        <v>17</v>
      </c>
      <c r="B1159" t="s">
        <v>18</v>
      </c>
      <c r="C1159" t="str">
        <f t="shared" si="126"/>
        <v>400</v>
      </c>
      <c r="D1159" t="str">
        <f>"615950"</f>
        <v>615950</v>
      </c>
      <c r="E1159" t="s">
        <v>19</v>
      </c>
      <c r="F1159" t="s">
        <v>1132</v>
      </c>
      <c r="G1159">
        <v>250</v>
      </c>
      <c r="H1159" t="str">
        <f>""</f>
        <v/>
      </c>
      <c r="I1159">
        <v>2.5</v>
      </c>
      <c r="J1159">
        <v>0</v>
      </c>
      <c r="K1159" t="str">
        <f t="shared" si="123"/>
        <v>31000</v>
      </c>
      <c r="L1159" t="str">
        <f t="shared" si="127"/>
        <v>0</v>
      </c>
      <c r="M1159" t="str">
        <f t="shared" si="127"/>
        <v>0</v>
      </c>
      <c r="N1159" t="str">
        <f t="shared" si="127"/>
        <v>0</v>
      </c>
    </row>
    <row r="1160" spans="1:14" x14ac:dyDescent="0.3">
      <c r="A1160" t="s">
        <v>17</v>
      </c>
      <c r="B1160" t="s">
        <v>18</v>
      </c>
      <c r="C1160" t="str">
        <f t="shared" si="126"/>
        <v>400</v>
      </c>
      <c r="D1160" t="str">
        <f>"615986"</f>
        <v>615986</v>
      </c>
      <c r="E1160" t="s">
        <v>19</v>
      </c>
      <c r="F1160" t="s">
        <v>1133</v>
      </c>
      <c r="G1160">
        <v>250</v>
      </c>
      <c r="H1160" t="str">
        <f>""</f>
        <v/>
      </c>
      <c r="I1160">
        <v>32</v>
      </c>
      <c r="J1160">
        <v>0</v>
      </c>
      <c r="K1160" t="str">
        <f t="shared" si="123"/>
        <v>31000</v>
      </c>
      <c r="L1160" t="str">
        <f t="shared" si="127"/>
        <v>0</v>
      </c>
      <c r="M1160" t="str">
        <f t="shared" si="127"/>
        <v>0</v>
      </c>
      <c r="N1160" t="str">
        <f t="shared" si="127"/>
        <v>0</v>
      </c>
    </row>
    <row r="1161" spans="1:14" x14ac:dyDescent="0.3">
      <c r="A1161" t="s">
        <v>17</v>
      </c>
      <c r="B1161" t="s">
        <v>18</v>
      </c>
      <c r="C1161" t="str">
        <f t="shared" si="126"/>
        <v>400</v>
      </c>
      <c r="D1161" t="str">
        <f>"615999"</f>
        <v>615999</v>
      </c>
      <c r="E1161" t="s">
        <v>19</v>
      </c>
      <c r="F1161" t="s">
        <v>1134</v>
      </c>
      <c r="G1161">
        <v>250</v>
      </c>
      <c r="I1161">
        <v>12</v>
      </c>
      <c r="J1161">
        <v>12</v>
      </c>
      <c r="K1161" t="str">
        <f t="shared" si="123"/>
        <v>31000</v>
      </c>
    </row>
    <row r="1162" spans="1:14" x14ac:dyDescent="0.3">
      <c r="A1162" t="s">
        <v>17</v>
      </c>
      <c r="B1162" t="s">
        <v>18</v>
      </c>
      <c r="C1162" t="str">
        <f t="shared" si="126"/>
        <v>400</v>
      </c>
      <c r="D1162" t="str">
        <f>"616000"</f>
        <v>616000</v>
      </c>
      <c r="E1162" t="s">
        <v>19</v>
      </c>
      <c r="F1162" t="s">
        <v>1135</v>
      </c>
      <c r="G1162">
        <v>250</v>
      </c>
      <c r="H1162" t="str">
        <f>""</f>
        <v/>
      </c>
      <c r="I1162">
        <v>34.71</v>
      </c>
      <c r="J1162">
        <v>0</v>
      </c>
      <c r="K1162" t="str">
        <f t="shared" si="123"/>
        <v>31000</v>
      </c>
      <c r="L1162" t="str">
        <f t="shared" ref="L1162:N1176" si="128">"0"</f>
        <v>0</v>
      </c>
      <c r="M1162" t="str">
        <f t="shared" si="128"/>
        <v>0</v>
      </c>
      <c r="N1162" t="str">
        <f t="shared" si="128"/>
        <v>0</v>
      </c>
    </row>
    <row r="1163" spans="1:14" x14ac:dyDescent="0.3">
      <c r="A1163" t="s">
        <v>17</v>
      </c>
      <c r="B1163" t="s">
        <v>18</v>
      </c>
      <c r="C1163" t="str">
        <f t="shared" si="126"/>
        <v>400</v>
      </c>
      <c r="D1163" t="str">
        <f>"616001"</f>
        <v>616001</v>
      </c>
      <c r="E1163" t="s">
        <v>19</v>
      </c>
      <c r="F1163" t="s">
        <v>1136</v>
      </c>
      <c r="G1163">
        <v>250</v>
      </c>
      <c r="H1163" t="str">
        <f>""</f>
        <v/>
      </c>
      <c r="I1163">
        <v>11.73</v>
      </c>
      <c r="J1163">
        <v>0</v>
      </c>
      <c r="K1163" t="str">
        <f t="shared" si="123"/>
        <v>31000</v>
      </c>
      <c r="L1163" t="str">
        <f t="shared" si="128"/>
        <v>0</v>
      </c>
      <c r="M1163" t="str">
        <f t="shared" si="128"/>
        <v>0</v>
      </c>
      <c r="N1163" t="str">
        <f t="shared" si="128"/>
        <v>0</v>
      </c>
    </row>
    <row r="1164" spans="1:14" x14ac:dyDescent="0.3">
      <c r="A1164" t="s">
        <v>17</v>
      </c>
      <c r="B1164" t="s">
        <v>18</v>
      </c>
      <c r="C1164" t="str">
        <f t="shared" si="126"/>
        <v>400</v>
      </c>
      <c r="D1164" t="str">
        <f>"616289"</f>
        <v>616289</v>
      </c>
      <c r="E1164" t="s">
        <v>19</v>
      </c>
      <c r="F1164" t="s">
        <v>1137</v>
      </c>
      <c r="G1164">
        <v>250</v>
      </c>
      <c r="H1164" t="str">
        <f>""</f>
        <v/>
      </c>
      <c r="I1164">
        <v>12</v>
      </c>
      <c r="J1164">
        <v>0</v>
      </c>
      <c r="K1164" t="str">
        <f t="shared" si="123"/>
        <v>31000</v>
      </c>
      <c r="L1164" t="str">
        <f t="shared" si="128"/>
        <v>0</v>
      </c>
      <c r="M1164" t="str">
        <f t="shared" si="128"/>
        <v>0</v>
      </c>
      <c r="N1164" t="str">
        <f t="shared" si="128"/>
        <v>0</v>
      </c>
    </row>
    <row r="1165" spans="1:14" x14ac:dyDescent="0.3">
      <c r="A1165" t="s">
        <v>17</v>
      </c>
      <c r="B1165" t="s">
        <v>18</v>
      </c>
      <c r="C1165" t="str">
        <f t="shared" si="126"/>
        <v>400</v>
      </c>
      <c r="D1165" t="str">
        <f>"616428"</f>
        <v>616428</v>
      </c>
      <c r="E1165" t="s">
        <v>19</v>
      </c>
      <c r="F1165" t="s">
        <v>1138</v>
      </c>
      <c r="G1165">
        <v>250</v>
      </c>
      <c r="H1165" t="str">
        <f>""</f>
        <v/>
      </c>
      <c r="I1165">
        <v>4.5</v>
      </c>
      <c r="J1165">
        <v>0</v>
      </c>
      <c r="K1165" t="str">
        <f t="shared" si="123"/>
        <v>31000</v>
      </c>
      <c r="L1165" t="str">
        <f t="shared" si="128"/>
        <v>0</v>
      </c>
      <c r="M1165" t="str">
        <f t="shared" si="128"/>
        <v>0</v>
      </c>
      <c r="N1165" t="str">
        <f t="shared" si="128"/>
        <v>0</v>
      </c>
    </row>
    <row r="1166" spans="1:14" x14ac:dyDescent="0.3">
      <c r="A1166" t="s">
        <v>17</v>
      </c>
      <c r="B1166" t="s">
        <v>18</v>
      </c>
      <c r="C1166" t="str">
        <f t="shared" si="126"/>
        <v>400</v>
      </c>
      <c r="D1166" t="str">
        <f>"616458"</f>
        <v>616458</v>
      </c>
      <c r="E1166" t="s">
        <v>19</v>
      </c>
      <c r="F1166" t="s">
        <v>1139</v>
      </c>
      <c r="G1166">
        <v>250</v>
      </c>
      <c r="H1166" t="str">
        <f>""</f>
        <v/>
      </c>
      <c r="I1166">
        <v>481.74</v>
      </c>
      <c r="J1166">
        <v>0</v>
      </c>
      <c r="K1166" t="str">
        <f t="shared" si="123"/>
        <v>31000</v>
      </c>
      <c r="L1166" t="str">
        <f t="shared" si="128"/>
        <v>0</v>
      </c>
      <c r="M1166" t="str">
        <f t="shared" si="128"/>
        <v>0</v>
      </c>
      <c r="N1166" t="str">
        <f t="shared" si="128"/>
        <v>0</v>
      </c>
    </row>
    <row r="1167" spans="1:14" x14ac:dyDescent="0.3">
      <c r="A1167" t="s">
        <v>17</v>
      </c>
      <c r="B1167" t="s">
        <v>18</v>
      </c>
      <c r="C1167" t="str">
        <f t="shared" si="126"/>
        <v>400</v>
      </c>
      <c r="D1167" t="str">
        <f>"616459"</f>
        <v>616459</v>
      </c>
      <c r="E1167" t="s">
        <v>19</v>
      </c>
      <c r="F1167" t="s">
        <v>1140</v>
      </c>
      <c r="G1167">
        <v>250</v>
      </c>
      <c r="H1167" t="str">
        <f>""</f>
        <v/>
      </c>
      <c r="I1167">
        <v>55</v>
      </c>
      <c r="J1167">
        <v>0</v>
      </c>
      <c r="K1167" t="str">
        <f t="shared" si="123"/>
        <v>31000</v>
      </c>
      <c r="L1167" t="str">
        <f t="shared" si="128"/>
        <v>0</v>
      </c>
      <c r="M1167" t="str">
        <f t="shared" si="128"/>
        <v>0</v>
      </c>
      <c r="N1167" t="str">
        <f t="shared" si="128"/>
        <v>0</v>
      </c>
    </row>
    <row r="1168" spans="1:14" x14ac:dyDescent="0.3">
      <c r="A1168" t="s">
        <v>17</v>
      </c>
      <c r="B1168" t="s">
        <v>18</v>
      </c>
      <c r="C1168" t="str">
        <f t="shared" si="126"/>
        <v>400</v>
      </c>
      <c r="D1168" t="str">
        <f>"616589"</f>
        <v>616589</v>
      </c>
      <c r="E1168" t="s">
        <v>19</v>
      </c>
      <c r="F1168" t="s">
        <v>1141</v>
      </c>
      <c r="G1168">
        <v>250</v>
      </c>
      <c r="H1168" t="str">
        <f>""</f>
        <v/>
      </c>
      <c r="I1168">
        <v>25</v>
      </c>
      <c r="J1168">
        <v>0</v>
      </c>
      <c r="K1168" t="str">
        <f t="shared" si="123"/>
        <v>31000</v>
      </c>
      <c r="L1168" t="str">
        <f t="shared" si="128"/>
        <v>0</v>
      </c>
      <c r="M1168" t="str">
        <f t="shared" si="128"/>
        <v>0</v>
      </c>
      <c r="N1168" t="str">
        <f t="shared" si="128"/>
        <v>0</v>
      </c>
    </row>
    <row r="1169" spans="1:17" x14ac:dyDescent="0.3">
      <c r="A1169" t="s">
        <v>17</v>
      </c>
      <c r="B1169" t="s">
        <v>18</v>
      </c>
      <c r="C1169" t="str">
        <f t="shared" si="126"/>
        <v>400</v>
      </c>
      <c r="D1169" t="str">
        <f>"616876"</f>
        <v>616876</v>
      </c>
      <c r="E1169" t="s">
        <v>19</v>
      </c>
      <c r="F1169" t="s">
        <v>1142</v>
      </c>
      <c r="G1169">
        <v>250</v>
      </c>
      <c r="H1169" t="str">
        <f>""</f>
        <v/>
      </c>
      <c r="I1169">
        <v>2.5</v>
      </c>
      <c r="J1169">
        <v>0</v>
      </c>
      <c r="K1169" t="str">
        <f t="shared" si="123"/>
        <v>31000</v>
      </c>
      <c r="L1169" t="str">
        <f t="shared" si="128"/>
        <v>0</v>
      </c>
      <c r="M1169" t="str">
        <f t="shared" si="128"/>
        <v>0</v>
      </c>
      <c r="N1169" t="str">
        <f t="shared" si="128"/>
        <v>0</v>
      </c>
    </row>
    <row r="1170" spans="1:17" x14ac:dyDescent="0.3">
      <c r="A1170" t="s">
        <v>17</v>
      </c>
      <c r="B1170" t="s">
        <v>18</v>
      </c>
      <c r="C1170" t="str">
        <f t="shared" si="126"/>
        <v>400</v>
      </c>
      <c r="D1170" t="str">
        <f>"616879"</f>
        <v>616879</v>
      </c>
      <c r="E1170" t="s">
        <v>19</v>
      </c>
      <c r="F1170" t="s">
        <v>1143</v>
      </c>
      <c r="G1170">
        <v>250</v>
      </c>
      <c r="H1170" t="str">
        <f>""</f>
        <v/>
      </c>
      <c r="I1170">
        <v>5.45</v>
      </c>
      <c r="J1170">
        <v>0</v>
      </c>
      <c r="K1170" t="str">
        <f t="shared" si="123"/>
        <v>31000</v>
      </c>
      <c r="L1170" t="str">
        <f t="shared" si="128"/>
        <v>0</v>
      </c>
      <c r="M1170" t="str">
        <f t="shared" si="128"/>
        <v>0</v>
      </c>
      <c r="N1170" t="str">
        <f t="shared" si="128"/>
        <v>0</v>
      </c>
    </row>
    <row r="1171" spans="1:17" x14ac:dyDescent="0.3">
      <c r="A1171" t="s">
        <v>17</v>
      </c>
      <c r="B1171" t="s">
        <v>18</v>
      </c>
      <c r="C1171" t="str">
        <f t="shared" si="126"/>
        <v>400</v>
      </c>
      <c r="D1171" t="str">
        <f>"617158"</f>
        <v>617158</v>
      </c>
      <c r="E1171" t="s">
        <v>19</v>
      </c>
      <c r="F1171" t="s">
        <v>1144</v>
      </c>
      <c r="G1171">
        <v>250</v>
      </c>
      <c r="H1171" t="str">
        <f>""</f>
        <v/>
      </c>
      <c r="I1171">
        <v>6.5</v>
      </c>
      <c r="J1171">
        <v>0</v>
      </c>
      <c r="K1171" t="str">
        <f t="shared" si="123"/>
        <v>31000</v>
      </c>
      <c r="L1171" t="str">
        <f t="shared" si="128"/>
        <v>0</v>
      </c>
      <c r="M1171" t="str">
        <f t="shared" si="128"/>
        <v>0</v>
      </c>
      <c r="N1171" t="str">
        <f t="shared" si="128"/>
        <v>0</v>
      </c>
    </row>
    <row r="1172" spans="1:17" x14ac:dyDescent="0.3">
      <c r="A1172" t="s">
        <v>17</v>
      </c>
      <c r="B1172" t="s">
        <v>18</v>
      </c>
      <c r="C1172" t="str">
        <f t="shared" si="126"/>
        <v>400</v>
      </c>
      <c r="D1172" t="str">
        <f>"617258"</f>
        <v>617258</v>
      </c>
      <c r="E1172" t="s">
        <v>19</v>
      </c>
      <c r="F1172" t="s">
        <v>1145</v>
      </c>
      <c r="G1172">
        <v>250</v>
      </c>
      <c r="I1172">
        <v>103.5</v>
      </c>
      <c r="J1172">
        <v>0</v>
      </c>
      <c r="K1172" t="str">
        <f t="shared" si="123"/>
        <v>31000</v>
      </c>
      <c r="L1172" t="str">
        <f t="shared" si="128"/>
        <v>0</v>
      </c>
      <c r="M1172" t="str">
        <f t="shared" si="128"/>
        <v>0</v>
      </c>
      <c r="N1172" t="str">
        <f t="shared" si="128"/>
        <v>0</v>
      </c>
      <c r="P1172">
        <v>75</v>
      </c>
      <c r="Q1172" s="2">
        <v>42622</v>
      </c>
    </row>
    <row r="1173" spans="1:17" x14ac:dyDescent="0.3">
      <c r="A1173" t="s">
        <v>17</v>
      </c>
      <c r="B1173" t="s">
        <v>18</v>
      </c>
      <c r="C1173" t="str">
        <f t="shared" si="126"/>
        <v>400</v>
      </c>
      <c r="D1173" t="str">
        <f>"617358"</f>
        <v>617358</v>
      </c>
      <c r="E1173" t="s">
        <v>19</v>
      </c>
      <c r="F1173" t="s">
        <v>1146</v>
      </c>
      <c r="G1173">
        <v>250</v>
      </c>
      <c r="H1173" t="str">
        <f>""</f>
        <v/>
      </c>
      <c r="I1173">
        <v>18.48</v>
      </c>
      <c r="J1173">
        <v>0</v>
      </c>
      <c r="K1173" t="str">
        <f t="shared" si="123"/>
        <v>31000</v>
      </c>
      <c r="L1173" t="str">
        <f t="shared" si="128"/>
        <v>0</v>
      </c>
      <c r="M1173" t="str">
        <f t="shared" si="128"/>
        <v>0</v>
      </c>
      <c r="N1173" t="str">
        <f t="shared" si="128"/>
        <v>0</v>
      </c>
    </row>
    <row r="1174" spans="1:17" x14ac:dyDescent="0.3">
      <c r="A1174" t="s">
        <v>17</v>
      </c>
      <c r="B1174" t="s">
        <v>18</v>
      </c>
      <c r="C1174" t="str">
        <f t="shared" si="126"/>
        <v>400</v>
      </c>
      <c r="D1174" t="str">
        <f>"617435"</f>
        <v>617435</v>
      </c>
      <c r="E1174" t="s">
        <v>19</v>
      </c>
      <c r="F1174" t="s">
        <v>1147</v>
      </c>
      <c r="G1174">
        <v>250</v>
      </c>
      <c r="H1174" t="str">
        <f>""</f>
        <v/>
      </c>
      <c r="I1174">
        <v>56</v>
      </c>
      <c r="J1174">
        <v>0</v>
      </c>
      <c r="K1174" t="str">
        <f t="shared" si="123"/>
        <v>31000</v>
      </c>
      <c r="L1174" t="str">
        <f t="shared" si="128"/>
        <v>0</v>
      </c>
      <c r="M1174" t="str">
        <f t="shared" si="128"/>
        <v>0</v>
      </c>
      <c r="N1174" t="str">
        <f t="shared" si="128"/>
        <v>0</v>
      </c>
    </row>
    <row r="1175" spans="1:17" x14ac:dyDescent="0.3">
      <c r="A1175" t="s">
        <v>17</v>
      </c>
      <c r="B1175" t="s">
        <v>18</v>
      </c>
      <c r="C1175" t="str">
        <f t="shared" si="126"/>
        <v>400</v>
      </c>
      <c r="D1175" t="str">
        <f>"617587"</f>
        <v>617587</v>
      </c>
      <c r="E1175" t="s">
        <v>19</v>
      </c>
      <c r="F1175" t="s">
        <v>1148</v>
      </c>
      <c r="G1175">
        <v>250</v>
      </c>
      <c r="H1175" t="str">
        <f>""</f>
        <v/>
      </c>
      <c r="I1175">
        <v>212.7</v>
      </c>
      <c r="J1175">
        <v>0</v>
      </c>
      <c r="K1175" t="str">
        <f t="shared" si="123"/>
        <v>31000</v>
      </c>
      <c r="L1175" t="str">
        <f t="shared" si="128"/>
        <v>0</v>
      </c>
      <c r="M1175" t="str">
        <f t="shared" si="128"/>
        <v>0</v>
      </c>
      <c r="N1175" t="str">
        <f t="shared" si="128"/>
        <v>0</v>
      </c>
    </row>
    <row r="1176" spans="1:17" x14ac:dyDescent="0.3">
      <c r="A1176" t="s">
        <v>17</v>
      </c>
      <c r="B1176" t="s">
        <v>18</v>
      </c>
      <c r="C1176" t="str">
        <f t="shared" si="126"/>
        <v>400</v>
      </c>
      <c r="D1176" t="str">
        <f>"617759"</f>
        <v>617759</v>
      </c>
      <c r="E1176" t="s">
        <v>19</v>
      </c>
      <c r="F1176" t="s">
        <v>1149</v>
      </c>
      <c r="G1176">
        <v>250</v>
      </c>
      <c r="H1176" t="str">
        <f>""</f>
        <v/>
      </c>
      <c r="I1176">
        <v>44.5</v>
      </c>
      <c r="J1176">
        <v>0</v>
      </c>
      <c r="K1176" t="str">
        <f t="shared" si="123"/>
        <v>31000</v>
      </c>
      <c r="L1176" t="str">
        <f t="shared" si="128"/>
        <v>0</v>
      </c>
      <c r="M1176" t="str">
        <f t="shared" si="128"/>
        <v>0</v>
      </c>
      <c r="N1176" t="str">
        <f t="shared" si="128"/>
        <v>0</v>
      </c>
    </row>
    <row r="1177" spans="1:17" x14ac:dyDescent="0.3">
      <c r="A1177" t="s">
        <v>17</v>
      </c>
      <c r="B1177" t="s">
        <v>18</v>
      </c>
      <c r="C1177" t="str">
        <f t="shared" si="126"/>
        <v>400</v>
      </c>
      <c r="D1177" t="str">
        <f>"618000"</f>
        <v>618000</v>
      </c>
      <c r="E1177" t="s">
        <v>19</v>
      </c>
      <c r="F1177" t="s">
        <v>1150</v>
      </c>
      <c r="G1177">
        <v>250</v>
      </c>
      <c r="I1177">
        <v>30</v>
      </c>
      <c r="J1177">
        <v>0</v>
      </c>
      <c r="K1177" t="str">
        <f t="shared" si="123"/>
        <v>31000</v>
      </c>
    </row>
    <row r="1178" spans="1:17" x14ac:dyDescent="0.3">
      <c r="A1178" t="s">
        <v>17</v>
      </c>
      <c r="B1178" t="s">
        <v>18</v>
      </c>
      <c r="C1178" t="str">
        <f t="shared" si="126"/>
        <v>400</v>
      </c>
      <c r="D1178" t="str">
        <f>"618001"</f>
        <v>618001</v>
      </c>
      <c r="E1178" t="s">
        <v>19</v>
      </c>
      <c r="F1178" t="s">
        <v>1151</v>
      </c>
      <c r="G1178">
        <v>250</v>
      </c>
      <c r="I1178">
        <v>4.7699999999999996</v>
      </c>
      <c r="J1178">
        <v>0</v>
      </c>
      <c r="K1178" t="str">
        <f t="shared" si="123"/>
        <v>31000</v>
      </c>
    </row>
    <row r="1179" spans="1:17" x14ac:dyDescent="0.3">
      <c r="A1179" t="s">
        <v>17</v>
      </c>
      <c r="B1179" t="s">
        <v>18</v>
      </c>
      <c r="C1179" t="str">
        <f t="shared" si="126"/>
        <v>400</v>
      </c>
      <c r="D1179" t="str">
        <f>"618002"</f>
        <v>618002</v>
      </c>
      <c r="E1179" t="s">
        <v>19</v>
      </c>
      <c r="F1179" t="s">
        <v>1152</v>
      </c>
      <c r="G1179">
        <v>250</v>
      </c>
      <c r="I1179">
        <v>1.71</v>
      </c>
      <c r="J1179">
        <v>0</v>
      </c>
      <c r="K1179" t="str">
        <f t="shared" si="123"/>
        <v>31000</v>
      </c>
    </row>
    <row r="1180" spans="1:17" x14ac:dyDescent="0.3">
      <c r="A1180" t="s">
        <v>17</v>
      </c>
      <c r="B1180" t="s">
        <v>18</v>
      </c>
      <c r="C1180" t="str">
        <f t="shared" si="126"/>
        <v>400</v>
      </c>
      <c r="D1180" t="str">
        <f>"618003"</f>
        <v>618003</v>
      </c>
      <c r="E1180" t="s">
        <v>19</v>
      </c>
      <c r="F1180" t="s">
        <v>1153</v>
      </c>
      <c r="G1180">
        <v>250</v>
      </c>
      <c r="I1180">
        <v>27.63</v>
      </c>
      <c r="J1180">
        <v>0</v>
      </c>
      <c r="K1180" t="str">
        <f t="shared" si="123"/>
        <v>31000</v>
      </c>
    </row>
    <row r="1181" spans="1:17" x14ac:dyDescent="0.3">
      <c r="A1181" t="s">
        <v>17</v>
      </c>
      <c r="B1181" t="s">
        <v>18</v>
      </c>
      <c r="C1181" t="str">
        <f t="shared" si="126"/>
        <v>400</v>
      </c>
      <c r="D1181" t="str">
        <f>"618004"</f>
        <v>618004</v>
      </c>
      <c r="E1181" t="s">
        <v>19</v>
      </c>
      <c r="F1181" t="s">
        <v>1154</v>
      </c>
      <c r="G1181">
        <v>250</v>
      </c>
      <c r="I1181">
        <v>26.83</v>
      </c>
      <c r="J1181">
        <v>0</v>
      </c>
      <c r="K1181" t="str">
        <f t="shared" si="123"/>
        <v>31000</v>
      </c>
    </row>
    <row r="1182" spans="1:17" x14ac:dyDescent="0.3">
      <c r="A1182" t="s">
        <v>17</v>
      </c>
      <c r="B1182" t="s">
        <v>18</v>
      </c>
      <c r="C1182" t="str">
        <f t="shared" si="126"/>
        <v>400</v>
      </c>
      <c r="D1182" t="str">
        <f>"618005"</f>
        <v>618005</v>
      </c>
      <c r="E1182" t="s">
        <v>19</v>
      </c>
      <c r="F1182" t="s">
        <v>1155</v>
      </c>
      <c r="G1182">
        <v>250</v>
      </c>
      <c r="I1182">
        <v>6.5</v>
      </c>
      <c r="J1182">
        <v>0</v>
      </c>
      <c r="K1182" t="str">
        <f t="shared" si="123"/>
        <v>31000</v>
      </c>
    </row>
    <row r="1183" spans="1:17" x14ac:dyDescent="0.3">
      <c r="A1183" t="s">
        <v>17</v>
      </c>
      <c r="B1183" t="s">
        <v>18</v>
      </c>
      <c r="C1183" t="str">
        <f t="shared" si="126"/>
        <v>400</v>
      </c>
      <c r="D1183" t="str">
        <f>"618006"</f>
        <v>618006</v>
      </c>
      <c r="E1183" t="s">
        <v>19</v>
      </c>
      <c r="F1183" t="s">
        <v>1156</v>
      </c>
      <c r="G1183">
        <v>250</v>
      </c>
      <c r="I1183">
        <v>8</v>
      </c>
      <c r="J1183">
        <v>0</v>
      </c>
      <c r="K1183" t="str">
        <f t="shared" si="123"/>
        <v>31000</v>
      </c>
    </row>
    <row r="1184" spans="1:17" x14ac:dyDescent="0.3">
      <c r="A1184" t="s">
        <v>17</v>
      </c>
      <c r="B1184" t="s">
        <v>18</v>
      </c>
      <c r="C1184" t="str">
        <f t="shared" si="126"/>
        <v>400</v>
      </c>
      <c r="D1184" t="str">
        <f>"618007"</f>
        <v>618007</v>
      </c>
      <c r="E1184" t="s">
        <v>19</v>
      </c>
      <c r="F1184" t="s">
        <v>1157</v>
      </c>
      <c r="G1184">
        <v>250</v>
      </c>
      <c r="I1184">
        <v>8</v>
      </c>
      <c r="J1184">
        <v>0</v>
      </c>
      <c r="K1184" t="str">
        <f t="shared" si="123"/>
        <v>31000</v>
      </c>
    </row>
    <row r="1185" spans="1:17" x14ac:dyDescent="0.3">
      <c r="A1185" t="s">
        <v>17</v>
      </c>
      <c r="B1185" t="s">
        <v>18</v>
      </c>
      <c r="C1185" t="str">
        <f t="shared" si="126"/>
        <v>400</v>
      </c>
      <c r="D1185" t="str">
        <f>"618008"</f>
        <v>618008</v>
      </c>
      <c r="E1185" t="s">
        <v>19</v>
      </c>
      <c r="F1185" t="s">
        <v>1158</v>
      </c>
      <c r="G1185">
        <v>250</v>
      </c>
      <c r="I1185">
        <v>5</v>
      </c>
      <c r="J1185">
        <v>0</v>
      </c>
      <c r="K1185" t="str">
        <f t="shared" si="123"/>
        <v>31000</v>
      </c>
    </row>
    <row r="1186" spans="1:17" x14ac:dyDescent="0.3">
      <c r="A1186" t="s">
        <v>17</v>
      </c>
      <c r="B1186" t="s">
        <v>18</v>
      </c>
      <c r="C1186" t="str">
        <f t="shared" si="126"/>
        <v>400</v>
      </c>
      <c r="D1186" t="str">
        <f>"618009"</f>
        <v>618009</v>
      </c>
      <c r="E1186" t="s">
        <v>19</v>
      </c>
      <c r="F1186" t="s">
        <v>1159</v>
      </c>
      <c r="G1186">
        <v>250</v>
      </c>
      <c r="I1186">
        <v>3.57</v>
      </c>
      <c r="J1186">
        <v>0</v>
      </c>
      <c r="K1186" t="str">
        <f t="shared" si="123"/>
        <v>31000</v>
      </c>
    </row>
    <row r="1187" spans="1:17" x14ac:dyDescent="0.3">
      <c r="A1187" t="s">
        <v>17</v>
      </c>
      <c r="B1187" t="s">
        <v>18</v>
      </c>
      <c r="C1187" t="str">
        <f t="shared" si="126"/>
        <v>400</v>
      </c>
      <c r="D1187" t="str">
        <f>"618010"</f>
        <v>618010</v>
      </c>
      <c r="E1187" t="s">
        <v>19</v>
      </c>
      <c r="F1187" t="s">
        <v>1160</v>
      </c>
      <c r="G1187">
        <v>250</v>
      </c>
      <c r="I1187">
        <v>1.96</v>
      </c>
      <c r="J1187">
        <v>0</v>
      </c>
      <c r="K1187" t="str">
        <f t="shared" si="123"/>
        <v>31000</v>
      </c>
    </row>
    <row r="1188" spans="1:17" x14ac:dyDescent="0.3">
      <c r="A1188" t="s">
        <v>17</v>
      </c>
      <c r="B1188" t="s">
        <v>18</v>
      </c>
      <c r="C1188" t="str">
        <f t="shared" si="126"/>
        <v>400</v>
      </c>
      <c r="D1188" t="str">
        <f>"618011"</f>
        <v>618011</v>
      </c>
      <c r="E1188" t="s">
        <v>19</v>
      </c>
      <c r="F1188" t="s">
        <v>1161</v>
      </c>
      <c r="G1188">
        <v>250</v>
      </c>
      <c r="I1188">
        <v>60</v>
      </c>
      <c r="J1188">
        <v>0</v>
      </c>
      <c r="K1188" t="str">
        <f t="shared" si="123"/>
        <v>31000</v>
      </c>
    </row>
    <row r="1189" spans="1:17" x14ac:dyDescent="0.3">
      <c r="A1189" t="s">
        <v>17</v>
      </c>
      <c r="B1189" t="s">
        <v>18</v>
      </c>
      <c r="C1189" t="str">
        <f t="shared" si="126"/>
        <v>400</v>
      </c>
      <c r="D1189" t="str">
        <f>"618012"</f>
        <v>618012</v>
      </c>
      <c r="E1189" t="s">
        <v>19</v>
      </c>
      <c r="F1189" t="s">
        <v>1162</v>
      </c>
      <c r="G1189">
        <v>250</v>
      </c>
      <c r="I1189">
        <v>1</v>
      </c>
      <c r="J1189">
        <v>0</v>
      </c>
      <c r="K1189" t="str">
        <f t="shared" si="123"/>
        <v>31000</v>
      </c>
    </row>
    <row r="1190" spans="1:17" x14ac:dyDescent="0.3">
      <c r="A1190" t="s">
        <v>17</v>
      </c>
      <c r="B1190" t="s">
        <v>18</v>
      </c>
      <c r="C1190" t="str">
        <f t="shared" si="126"/>
        <v>400</v>
      </c>
      <c r="D1190" t="str">
        <f>"618013"</f>
        <v>618013</v>
      </c>
      <c r="E1190" t="s">
        <v>19</v>
      </c>
      <c r="F1190" t="s">
        <v>1163</v>
      </c>
      <c r="G1190">
        <v>250</v>
      </c>
      <c r="I1190">
        <v>1</v>
      </c>
      <c r="J1190">
        <v>0</v>
      </c>
      <c r="K1190" t="str">
        <f t="shared" si="123"/>
        <v>31000</v>
      </c>
      <c r="P1190">
        <v>0.75</v>
      </c>
      <c r="Q1190" s="2">
        <v>42691</v>
      </c>
    </row>
    <row r="1191" spans="1:17" x14ac:dyDescent="0.3">
      <c r="A1191" t="s">
        <v>17</v>
      </c>
      <c r="B1191" t="s">
        <v>18</v>
      </c>
      <c r="C1191" t="str">
        <f t="shared" si="126"/>
        <v>400</v>
      </c>
      <c r="D1191" t="str">
        <f>"618014"</f>
        <v>618014</v>
      </c>
      <c r="E1191" t="s">
        <v>19</v>
      </c>
      <c r="F1191" t="s">
        <v>1164</v>
      </c>
      <c r="G1191">
        <v>250</v>
      </c>
      <c r="I1191">
        <v>3</v>
      </c>
      <c r="J1191">
        <v>0</v>
      </c>
      <c r="K1191" t="str">
        <f t="shared" si="123"/>
        <v>31000</v>
      </c>
    </row>
    <row r="1192" spans="1:17" x14ac:dyDescent="0.3">
      <c r="A1192" t="s">
        <v>17</v>
      </c>
      <c r="B1192" t="s">
        <v>18</v>
      </c>
      <c r="C1192" t="str">
        <f t="shared" si="126"/>
        <v>400</v>
      </c>
      <c r="D1192" t="str">
        <f>"618015"</f>
        <v>618015</v>
      </c>
      <c r="E1192" t="s">
        <v>19</v>
      </c>
      <c r="F1192" t="s">
        <v>1165</v>
      </c>
      <c r="G1192">
        <v>250</v>
      </c>
      <c r="I1192">
        <v>3.6</v>
      </c>
      <c r="J1192">
        <v>0</v>
      </c>
      <c r="K1192" t="str">
        <f t="shared" si="123"/>
        <v>31000</v>
      </c>
    </row>
    <row r="1193" spans="1:17" x14ac:dyDescent="0.3">
      <c r="A1193" t="s">
        <v>17</v>
      </c>
      <c r="B1193" t="s">
        <v>18</v>
      </c>
      <c r="C1193" t="str">
        <f t="shared" si="126"/>
        <v>400</v>
      </c>
      <c r="D1193" t="str">
        <f>"618016"</f>
        <v>618016</v>
      </c>
      <c r="E1193" t="s">
        <v>19</v>
      </c>
      <c r="F1193" t="s">
        <v>1166</v>
      </c>
      <c r="G1193">
        <v>250</v>
      </c>
      <c r="I1193">
        <v>3.5</v>
      </c>
      <c r="J1193">
        <v>0</v>
      </c>
      <c r="K1193" t="str">
        <f t="shared" si="123"/>
        <v>31000</v>
      </c>
    </row>
    <row r="1194" spans="1:17" x14ac:dyDescent="0.3">
      <c r="A1194" t="s">
        <v>17</v>
      </c>
      <c r="B1194" t="s">
        <v>18</v>
      </c>
      <c r="C1194" t="str">
        <f t="shared" si="126"/>
        <v>400</v>
      </c>
      <c r="D1194" t="str">
        <f>"618017"</f>
        <v>618017</v>
      </c>
      <c r="E1194" t="s">
        <v>19</v>
      </c>
      <c r="F1194" t="s">
        <v>1167</v>
      </c>
      <c r="G1194">
        <v>250</v>
      </c>
      <c r="I1194">
        <v>18</v>
      </c>
      <c r="J1194">
        <v>0</v>
      </c>
      <c r="K1194" t="str">
        <f t="shared" si="123"/>
        <v>31000</v>
      </c>
    </row>
    <row r="1195" spans="1:17" x14ac:dyDescent="0.3">
      <c r="A1195" t="s">
        <v>17</v>
      </c>
      <c r="B1195" t="s">
        <v>18</v>
      </c>
      <c r="C1195" t="str">
        <f t="shared" si="126"/>
        <v>400</v>
      </c>
      <c r="D1195" t="str">
        <f>"618149"</f>
        <v>618149</v>
      </c>
      <c r="E1195" t="s">
        <v>19</v>
      </c>
      <c r="F1195" t="s">
        <v>1168</v>
      </c>
      <c r="G1195">
        <v>250</v>
      </c>
      <c r="H1195" t="str">
        <f>""</f>
        <v/>
      </c>
      <c r="I1195">
        <v>26</v>
      </c>
      <c r="J1195">
        <v>0</v>
      </c>
      <c r="K1195" t="str">
        <f t="shared" ref="K1195:K1258" si="129">"31000"</f>
        <v>31000</v>
      </c>
      <c r="L1195" t="str">
        <f>"0"</f>
        <v>0</v>
      </c>
      <c r="M1195" t="str">
        <f>"0"</f>
        <v>0</v>
      </c>
      <c r="N1195" t="str">
        <f>"0"</f>
        <v>0</v>
      </c>
    </row>
    <row r="1196" spans="1:17" x14ac:dyDescent="0.3">
      <c r="A1196" t="s">
        <v>17</v>
      </c>
      <c r="B1196" t="s">
        <v>18</v>
      </c>
      <c r="C1196" t="str">
        <f t="shared" si="126"/>
        <v>400</v>
      </c>
      <c r="D1196" t="str">
        <f>"618160"</f>
        <v>618160</v>
      </c>
      <c r="E1196" t="s">
        <v>19</v>
      </c>
      <c r="F1196" t="s">
        <v>1169</v>
      </c>
      <c r="G1196">
        <v>250</v>
      </c>
      <c r="I1196">
        <v>3</v>
      </c>
      <c r="J1196">
        <v>0</v>
      </c>
      <c r="K1196" t="str">
        <f t="shared" si="129"/>
        <v>31000</v>
      </c>
    </row>
    <row r="1197" spans="1:17" x14ac:dyDescent="0.3">
      <c r="A1197" t="s">
        <v>17</v>
      </c>
      <c r="B1197" t="s">
        <v>18</v>
      </c>
      <c r="C1197" t="str">
        <f t="shared" si="126"/>
        <v>400</v>
      </c>
      <c r="D1197" t="str">
        <f>"618228"</f>
        <v>618228</v>
      </c>
      <c r="E1197" t="s">
        <v>19</v>
      </c>
      <c r="F1197" t="s">
        <v>1170</v>
      </c>
      <c r="G1197">
        <v>250</v>
      </c>
      <c r="H1197" t="str">
        <f>""</f>
        <v/>
      </c>
      <c r="I1197">
        <v>30</v>
      </c>
      <c r="J1197">
        <v>0</v>
      </c>
      <c r="K1197" t="str">
        <f t="shared" si="129"/>
        <v>31000</v>
      </c>
      <c r="L1197" t="str">
        <f t="shared" ref="L1197:N1216" si="130">"0"</f>
        <v>0</v>
      </c>
      <c r="M1197" t="str">
        <f t="shared" si="130"/>
        <v>0</v>
      </c>
      <c r="N1197" t="str">
        <f t="shared" si="130"/>
        <v>0</v>
      </c>
    </row>
    <row r="1198" spans="1:17" x14ac:dyDescent="0.3">
      <c r="A1198" t="s">
        <v>17</v>
      </c>
      <c r="B1198" t="s">
        <v>18</v>
      </c>
      <c r="C1198" t="str">
        <f t="shared" si="126"/>
        <v>400</v>
      </c>
      <c r="D1198" t="str">
        <f>"618254"</f>
        <v>618254</v>
      </c>
      <c r="E1198" t="s">
        <v>19</v>
      </c>
      <c r="F1198" t="s">
        <v>1171</v>
      </c>
      <c r="G1198">
        <v>250</v>
      </c>
      <c r="H1198" t="str">
        <f>""</f>
        <v/>
      </c>
      <c r="I1198">
        <v>5</v>
      </c>
      <c r="J1198">
        <v>0</v>
      </c>
      <c r="K1198" t="str">
        <f t="shared" si="129"/>
        <v>31000</v>
      </c>
      <c r="L1198" t="str">
        <f t="shared" si="130"/>
        <v>0</v>
      </c>
      <c r="M1198" t="str">
        <f t="shared" si="130"/>
        <v>0</v>
      </c>
      <c r="N1198" t="str">
        <f t="shared" si="130"/>
        <v>0</v>
      </c>
    </row>
    <row r="1199" spans="1:17" x14ac:dyDescent="0.3">
      <c r="A1199" t="s">
        <v>17</v>
      </c>
      <c r="B1199" t="s">
        <v>18</v>
      </c>
      <c r="C1199" t="str">
        <f t="shared" si="126"/>
        <v>400</v>
      </c>
      <c r="D1199" t="str">
        <f>"618258"</f>
        <v>618258</v>
      </c>
      <c r="E1199" t="s">
        <v>19</v>
      </c>
      <c r="F1199" t="s">
        <v>1172</v>
      </c>
      <c r="G1199">
        <v>250</v>
      </c>
      <c r="H1199" t="str">
        <f>""</f>
        <v/>
      </c>
      <c r="I1199">
        <v>79</v>
      </c>
      <c r="J1199">
        <v>0</v>
      </c>
      <c r="K1199" t="str">
        <f t="shared" si="129"/>
        <v>31000</v>
      </c>
      <c r="L1199" t="str">
        <f t="shared" si="130"/>
        <v>0</v>
      </c>
      <c r="M1199" t="str">
        <f t="shared" si="130"/>
        <v>0</v>
      </c>
      <c r="N1199" t="str">
        <f t="shared" si="130"/>
        <v>0</v>
      </c>
    </row>
    <row r="1200" spans="1:17" x14ac:dyDescent="0.3">
      <c r="A1200" t="s">
        <v>17</v>
      </c>
      <c r="B1200" t="s">
        <v>18</v>
      </c>
      <c r="C1200" t="str">
        <f t="shared" si="126"/>
        <v>400</v>
      </c>
      <c r="D1200" t="str">
        <f>"618268"</f>
        <v>618268</v>
      </c>
      <c r="E1200" t="s">
        <v>19</v>
      </c>
      <c r="F1200" t="s">
        <v>1173</v>
      </c>
      <c r="G1200">
        <v>250</v>
      </c>
      <c r="H1200" t="str">
        <f>""</f>
        <v/>
      </c>
      <c r="I1200">
        <v>9</v>
      </c>
      <c r="J1200">
        <v>0</v>
      </c>
      <c r="K1200" t="str">
        <f t="shared" si="129"/>
        <v>31000</v>
      </c>
      <c r="L1200" t="str">
        <f t="shared" si="130"/>
        <v>0</v>
      </c>
      <c r="M1200" t="str">
        <f t="shared" si="130"/>
        <v>0</v>
      </c>
      <c r="N1200" t="str">
        <f t="shared" si="130"/>
        <v>0</v>
      </c>
    </row>
    <row r="1201" spans="1:14" x14ac:dyDescent="0.3">
      <c r="A1201" t="s">
        <v>17</v>
      </c>
      <c r="B1201" t="s">
        <v>18</v>
      </c>
      <c r="C1201" t="str">
        <f t="shared" si="126"/>
        <v>400</v>
      </c>
      <c r="D1201" t="str">
        <f>"618423"</f>
        <v>618423</v>
      </c>
      <c r="E1201" t="s">
        <v>19</v>
      </c>
      <c r="F1201" t="s">
        <v>1174</v>
      </c>
      <c r="G1201">
        <v>250</v>
      </c>
      <c r="H1201" t="str">
        <f>""</f>
        <v/>
      </c>
      <c r="I1201">
        <v>9.9499999999999993</v>
      </c>
      <c r="J1201">
        <v>0</v>
      </c>
      <c r="K1201" t="str">
        <f t="shared" si="129"/>
        <v>31000</v>
      </c>
      <c r="L1201" t="str">
        <f t="shared" si="130"/>
        <v>0</v>
      </c>
      <c r="M1201" t="str">
        <f t="shared" si="130"/>
        <v>0</v>
      </c>
      <c r="N1201" t="str">
        <f t="shared" si="130"/>
        <v>0</v>
      </c>
    </row>
    <row r="1202" spans="1:14" x14ac:dyDescent="0.3">
      <c r="A1202" t="s">
        <v>17</v>
      </c>
      <c r="B1202" t="s">
        <v>18</v>
      </c>
      <c r="C1202" t="str">
        <f t="shared" si="126"/>
        <v>400</v>
      </c>
      <c r="D1202" t="str">
        <f>"618426"</f>
        <v>618426</v>
      </c>
      <c r="E1202" t="s">
        <v>19</v>
      </c>
      <c r="F1202" t="s">
        <v>1175</v>
      </c>
      <c r="G1202">
        <v>250</v>
      </c>
      <c r="H1202" t="str">
        <f>""</f>
        <v/>
      </c>
      <c r="I1202">
        <v>13.99</v>
      </c>
      <c r="J1202">
        <v>0</v>
      </c>
      <c r="K1202" t="str">
        <f t="shared" si="129"/>
        <v>31000</v>
      </c>
      <c r="L1202" t="str">
        <f t="shared" si="130"/>
        <v>0</v>
      </c>
      <c r="M1202" t="str">
        <f t="shared" si="130"/>
        <v>0</v>
      </c>
      <c r="N1202" t="str">
        <f t="shared" si="130"/>
        <v>0</v>
      </c>
    </row>
    <row r="1203" spans="1:14" x14ac:dyDescent="0.3">
      <c r="A1203" t="s">
        <v>17</v>
      </c>
      <c r="B1203" t="s">
        <v>18</v>
      </c>
      <c r="C1203" t="str">
        <f t="shared" si="126"/>
        <v>400</v>
      </c>
      <c r="D1203" t="str">
        <f>"618428"</f>
        <v>618428</v>
      </c>
      <c r="E1203" t="s">
        <v>19</v>
      </c>
      <c r="F1203" t="s">
        <v>1176</v>
      </c>
      <c r="G1203">
        <v>250</v>
      </c>
      <c r="H1203" t="str">
        <f>""</f>
        <v/>
      </c>
      <c r="I1203">
        <v>9</v>
      </c>
      <c r="J1203">
        <v>0</v>
      </c>
      <c r="K1203" t="str">
        <f t="shared" si="129"/>
        <v>31000</v>
      </c>
      <c r="L1203" t="str">
        <f t="shared" si="130"/>
        <v>0</v>
      </c>
      <c r="M1203" t="str">
        <f t="shared" si="130"/>
        <v>0</v>
      </c>
      <c r="N1203" t="str">
        <f t="shared" si="130"/>
        <v>0</v>
      </c>
    </row>
    <row r="1204" spans="1:14" x14ac:dyDescent="0.3">
      <c r="A1204" t="s">
        <v>17</v>
      </c>
      <c r="B1204" t="s">
        <v>18</v>
      </c>
      <c r="C1204" t="str">
        <f t="shared" si="126"/>
        <v>400</v>
      </c>
      <c r="D1204" t="str">
        <f>"618429"</f>
        <v>618429</v>
      </c>
      <c r="E1204" t="s">
        <v>19</v>
      </c>
      <c r="F1204" t="s">
        <v>1177</v>
      </c>
      <c r="G1204">
        <v>250</v>
      </c>
      <c r="H1204" t="str">
        <f>""</f>
        <v/>
      </c>
      <c r="I1204">
        <v>31.92</v>
      </c>
      <c r="J1204">
        <v>0</v>
      </c>
      <c r="K1204" t="str">
        <f t="shared" si="129"/>
        <v>31000</v>
      </c>
      <c r="L1204" t="str">
        <f t="shared" si="130"/>
        <v>0</v>
      </c>
      <c r="M1204" t="str">
        <f t="shared" si="130"/>
        <v>0</v>
      </c>
      <c r="N1204" t="str">
        <f t="shared" si="130"/>
        <v>0</v>
      </c>
    </row>
    <row r="1205" spans="1:14" x14ac:dyDescent="0.3">
      <c r="A1205" t="s">
        <v>17</v>
      </c>
      <c r="B1205" t="s">
        <v>18</v>
      </c>
      <c r="C1205" t="str">
        <f t="shared" si="126"/>
        <v>400</v>
      </c>
      <c r="D1205" t="str">
        <f>"618453"</f>
        <v>618453</v>
      </c>
      <c r="E1205" t="s">
        <v>19</v>
      </c>
      <c r="F1205" t="s">
        <v>1178</v>
      </c>
      <c r="G1205">
        <v>250</v>
      </c>
      <c r="H1205" t="str">
        <f>""</f>
        <v/>
      </c>
      <c r="I1205">
        <v>212.55</v>
      </c>
      <c r="J1205">
        <v>0</v>
      </c>
      <c r="K1205" t="str">
        <f t="shared" si="129"/>
        <v>31000</v>
      </c>
      <c r="L1205" t="str">
        <f t="shared" si="130"/>
        <v>0</v>
      </c>
      <c r="M1205" t="str">
        <f t="shared" si="130"/>
        <v>0</v>
      </c>
      <c r="N1205" t="str">
        <f t="shared" si="130"/>
        <v>0</v>
      </c>
    </row>
    <row r="1206" spans="1:14" x14ac:dyDescent="0.3">
      <c r="A1206" t="s">
        <v>17</v>
      </c>
      <c r="B1206" t="s">
        <v>18</v>
      </c>
      <c r="C1206" t="str">
        <f t="shared" si="126"/>
        <v>400</v>
      </c>
      <c r="D1206" t="str">
        <f>"618456"</f>
        <v>618456</v>
      </c>
      <c r="E1206" t="s">
        <v>19</v>
      </c>
      <c r="F1206" t="s">
        <v>1179</v>
      </c>
      <c r="G1206">
        <v>250</v>
      </c>
      <c r="H1206" t="str">
        <f>""</f>
        <v/>
      </c>
      <c r="I1206">
        <v>4.5</v>
      </c>
      <c r="J1206">
        <v>0</v>
      </c>
      <c r="K1206" t="str">
        <f t="shared" si="129"/>
        <v>31000</v>
      </c>
      <c r="L1206" t="str">
        <f t="shared" si="130"/>
        <v>0</v>
      </c>
      <c r="M1206" t="str">
        <f t="shared" si="130"/>
        <v>0</v>
      </c>
      <c r="N1206" t="str">
        <f t="shared" si="130"/>
        <v>0</v>
      </c>
    </row>
    <row r="1207" spans="1:14" x14ac:dyDescent="0.3">
      <c r="A1207" t="s">
        <v>17</v>
      </c>
      <c r="B1207" t="s">
        <v>18</v>
      </c>
      <c r="C1207" t="str">
        <f t="shared" si="126"/>
        <v>400</v>
      </c>
      <c r="D1207" t="str">
        <f>"618457"</f>
        <v>618457</v>
      </c>
      <c r="E1207" t="s">
        <v>19</v>
      </c>
      <c r="F1207" t="s">
        <v>1180</v>
      </c>
      <c r="G1207">
        <v>250</v>
      </c>
      <c r="H1207" t="str">
        <f>""</f>
        <v/>
      </c>
      <c r="I1207">
        <v>4.5</v>
      </c>
      <c r="J1207">
        <v>0</v>
      </c>
      <c r="K1207" t="str">
        <f t="shared" si="129"/>
        <v>31000</v>
      </c>
      <c r="L1207" t="str">
        <f t="shared" si="130"/>
        <v>0</v>
      </c>
      <c r="M1207" t="str">
        <f t="shared" si="130"/>
        <v>0</v>
      </c>
      <c r="N1207" t="str">
        <f t="shared" si="130"/>
        <v>0</v>
      </c>
    </row>
    <row r="1208" spans="1:14" x14ac:dyDescent="0.3">
      <c r="A1208" t="s">
        <v>17</v>
      </c>
      <c r="B1208" t="s">
        <v>18</v>
      </c>
      <c r="C1208" t="str">
        <f t="shared" si="126"/>
        <v>400</v>
      </c>
      <c r="D1208" t="str">
        <f>"618459"</f>
        <v>618459</v>
      </c>
      <c r="E1208" t="s">
        <v>19</v>
      </c>
      <c r="F1208" t="s">
        <v>1181</v>
      </c>
      <c r="G1208">
        <v>250</v>
      </c>
      <c r="H1208" t="str">
        <f>""</f>
        <v/>
      </c>
      <c r="I1208">
        <v>4.5</v>
      </c>
      <c r="J1208">
        <v>0</v>
      </c>
      <c r="K1208" t="str">
        <f t="shared" si="129"/>
        <v>31000</v>
      </c>
      <c r="L1208" t="str">
        <f t="shared" si="130"/>
        <v>0</v>
      </c>
      <c r="M1208" t="str">
        <f t="shared" si="130"/>
        <v>0</v>
      </c>
      <c r="N1208" t="str">
        <f t="shared" si="130"/>
        <v>0</v>
      </c>
    </row>
    <row r="1209" spans="1:14" x14ac:dyDescent="0.3">
      <c r="A1209" t="s">
        <v>17</v>
      </c>
      <c r="B1209" t="s">
        <v>18</v>
      </c>
      <c r="C1209" t="str">
        <f t="shared" si="126"/>
        <v>400</v>
      </c>
      <c r="D1209" t="str">
        <f>"618487"</f>
        <v>618487</v>
      </c>
      <c r="E1209" t="s">
        <v>19</v>
      </c>
      <c r="F1209" t="s">
        <v>1182</v>
      </c>
      <c r="G1209">
        <v>250</v>
      </c>
      <c r="H1209" t="str">
        <f>""</f>
        <v/>
      </c>
      <c r="I1209">
        <v>4.5</v>
      </c>
      <c r="J1209">
        <v>0</v>
      </c>
      <c r="K1209" t="str">
        <f t="shared" si="129"/>
        <v>31000</v>
      </c>
      <c r="L1209" t="str">
        <f t="shared" si="130"/>
        <v>0</v>
      </c>
      <c r="M1209" t="str">
        <f t="shared" si="130"/>
        <v>0</v>
      </c>
      <c r="N1209" t="str">
        <f t="shared" si="130"/>
        <v>0</v>
      </c>
    </row>
    <row r="1210" spans="1:14" x14ac:dyDescent="0.3">
      <c r="A1210" t="s">
        <v>17</v>
      </c>
      <c r="B1210" t="s">
        <v>18</v>
      </c>
      <c r="C1210" t="str">
        <f t="shared" si="126"/>
        <v>400</v>
      </c>
      <c r="D1210" t="str">
        <f>"618516"</f>
        <v>618516</v>
      </c>
      <c r="E1210" t="s">
        <v>19</v>
      </c>
      <c r="F1210" t="s">
        <v>1183</v>
      </c>
      <c r="G1210">
        <v>250</v>
      </c>
      <c r="H1210" t="str">
        <f>""</f>
        <v/>
      </c>
      <c r="I1210">
        <v>4.5</v>
      </c>
      <c r="J1210">
        <v>0</v>
      </c>
      <c r="K1210" t="str">
        <f t="shared" si="129"/>
        <v>31000</v>
      </c>
      <c r="L1210" t="str">
        <f t="shared" si="130"/>
        <v>0</v>
      </c>
      <c r="M1210" t="str">
        <f t="shared" si="130"/>
        <v>0</v>
      </c>
      <c r="N1210" t="str">
        <f t="shared" si="130"/>
        <v>0</v>
      </c>
    </row>
    <row r="1211" spans="1:14" x14ac:dyDescent="0.3">
      <c r="A1211" t="s">
        <v>17</v>
      </c>
      <c r="B1211" t="s">
        <v>18</v>
      </c>
      <c r="C1211" t="str">
        <f t="shared" si="126"/>
        <v>400</v>
      </c>
      <c r="D1211" t="str">
        <f>"618587"</f>
        <v>618587</v>
      </c>
      <c r="E1211" t="s">
        <v>19</v>
      </c>
      <c r="F1211" t="s">
        <v>1184</v>
      </c>
      <c r="G1211">
        <v>250</v>
      </c>
      <c r="H1211" t="str">
        <f>""</f>
        <v/>
      </c>
      <c r="I1211">
        <v>650</v>
      </c>
      <c r="J1211">
        <v>0</v>
      </c>
      <c r="K1211" t="str">
        <f t="shared" si="129"/>
        <v>31000</v>
      </c>
      <c r="L1211" t="str">
        <f t="shared" si="130"/>
        <v>0</v>
      </c>
      <c r="M1211" t="str">
        <f t="shared" si="130"/>
        <v>0</v>
      </c>
      <c r="N1211" t="str">
        <f t="shared" si="130"/>
        <v>0</v>
      </c>
    </row>
    <row r="1212" spans="1:14" x14ac:dyDescent="0.3">
      <c r="A1212" t="s">
        <v>17</v>
      </c>
      <c r="B1212" t="s">
        <v>18</v>
      </c>
      <c r="C1212" t="str">
        <f t="shared" si="126"/>
        <v>400</v>
      </c>
      <c r="D1212" t="str">
        <f>"618637"</f>
        <v>618637</v>
      </c>
      <c r="E1212" t="s">
        <v>19</v>
      </c>
      <c r="F1212" t="s">
        <v>1185</v>
      </c>
      <c r="G1212">
        <v>250</v>
      </c>
      <c r="H1212" t="str">
        <f>""</f>
        <v/>
      </c>
      <c r="I1212">
        <v>140.49</v>
      </c>
      <c r="J1212">
        <v>0</v>
      </c>
      <c r="K1212" t="str">
        <f t="shared" si="129"/>
        <v>31000</v>
      </c>
      <c r="L1212" t="str">
        <f t="shared" si="130"/>
        <v>0</v>
      </c>
      <c r="M1212" t="str">
        <f t="shared" si="130"/>
        <v>0</v>
      </c>
      <c r="N1212" t="str">
        <f t="shared" si="130"/>
        <v>0</v>
      </c>
    </row>
    <row r="1213" spans="1:14" x14ac:dyDescent="0.3">
      <c r="A1213" t="s">
        <v>17</v>
      </c>
      <c r="B1213" t="s">
        <v>18</v>
      </c>
      <c r="C1213" t="str">
        <f t="shared" si="126"/>
        <v>400</v>
      </c>
      <c r="D1213" t="str">
        <f>"618742"</f>
        <v>618742</v>
      </c>
      <c r="E1213" t="s">
        <v>19</v>
      </c>
      <c r="F1213" t="s">
        <v>1186</v>
      </c>
      <c r="G1213">
        <v>250</v>
      </c>
      <c r="H1213" t="str">
        <f>""</f>
        <v/>
      </c>
      <c r="I1213">
        <v>65</v>
      </c>
      <c r="J1213">
        <v>0</v>
      </c>
      <c r="K1213" t="str">
        <f t="shared" si="129"/>
        <v>31000</v>
      </c>
      <c r="L1213" t="str">
        <f t="shared" si="130"/>
        <v>0</v>
      </c>
      <c r="M1213" t="str">
        <f t="shared" si="130"/>
        <v>0</v>
      </c>
      <c r="N1213" t="str">
        <f t="shared" si="130"/>
        <v>0</v>
      </c>
    </row>
    <row r="1214" spans="1:14" x14ac:dyDescent="0.3">
      <c r="A1214" t="s">
        <v>17</v>
      </c>
      <c r="B1214" t="s">
        <v>18</v>
      </c>
      <c r="C1214" t="str">
        <f t="shared" si="126"/>
        <v>400</v>
      </c>
      <c r="D1214" t="str">
        <f>"618745"</f>
        <v>618745</v>
      </c>
      <c r="E1214" t="s">
        <v>19</v>
      </c>
      <c r="F1214" t="s">
        <v>1187</v>
      </c>
      <c r="G1214">
        <v>250</v>
      </c>
      <c r="H1214" t="str">
        <f>""</f>
        <v/>
      </c>
      <c r="I1214">
        <v>24.99</v>
      </c>
      <c r="J1214">
        <v>0</v>
      </c>
      <c r="K1214" t="str">
        <f t="shared" si="129"/>
        <v>31000</v>
      </c>
      <c r="L1214" t="str">
        <f t="shared" si="130"/>
        <v>0</v>
      </c>
      <c r="M1214" t="str">
        <f t="shared" si="130"/>
        <v>0</v>
      </c>
      <c r="N1214" t="str">
        <f t="shared" si="130"/>
        <v>0</v>
      </c>
    </row>
    <row r="1215" spans="1:14" x14ac:dyDescent="0.3">
      <c r="A1215" t="s">
        <v>17</v>
      </c>
      <c r="B1215" t="s">
        <v>18</v>
      </c>
      <c r="C1215" t="str">
        <f t="shared" si="126"/>
        <v>400</v>
      </c>
      <c r="D1215" t="str">
        <f>"618753"</f>
        <v>618753</v>
      </c>
      <c r="E1215" t="s">
        <v>19</v>
      </c>
      <c r="F1215" t="s">
        <v>1188</v>
      </c>
      <c r="G1215">
        <v>250</v>
      </c>
      <c r="H1215" t="str">
        <f>""</f>
        <v/>
      </c>
      <c r="I1215">
        <v>250.53</v>
      </c>
      <c r="J1215">
        <v>0</v>
      </c>
      <c r="K1215" t="str">
        <f t="shared" si="129"/>
        <v>31000</v>
      </c>
      <c r="L1215" t="str">
        <f t="shared" si="130"/>
        <v>0</v>
      </c>
      <c r="M1215" t="str">
        <f t="shared" si="130"/>
        <v>0</v>
      </c>
      <c r="N1215" t="str">
        <f t="shared" si="130"/>
        <v>0</v>
      </c>
    </row>
    <row r="1216" spans="1:14" x14ac:dyDescent="0.3">
      <c r="A1216" t="s">
        <v>17</v>
      </c>
      <c r="B1216" t="s">
        <v>18</v>
      </c>
      <c r="C1216" t="str">
        <f t="shared" si="126"/>
        <v>400</v>
      </c>
      <c r="D1216" t="str">
        <f>"618759"</f>
        <v>618759</v>
      </c>
      <c r="E1216" t="s">
        <v>19</v>
      </c>
      <c r="F1216" t="s">
        <v>1189</v>
      </c>
      <c r="G1216">
        <v>250</v>
      </c>
      <c r="H1216" t="str">
        <f>""</f>
        <v/>
      </c>
      <c r="I1216">
        <v>129.96</v>
      </c>
      <c r="J1216">
        <v>0</v>
      </c>
      <c r="K1216" t="str">
        <f t="shared" si="129"/>
        <v>31000</v>
      </c>
      <c r="L1216" t="str">
        <f t="shared" si="130"/>
        <v>0</v>
      </c>
      <c r="M1216" t="str">
        <f t="shared" si="130"/>
        <v>0</v>
      </c>
      <c r="N1216" t="str">
        <f t="shared" si="130"/>
        <v>0</v>
      </c>
    </row>
    <row r="1217" spans="1:14" x14ac:dyDescent="0.3">
      <c r="A1217" t="s">
        <v>17</v>
      </c>
      <c r="B1217" t="s">
        <v>18</v>
      </c>
      <c r="C1217" t="str">
        <f t="shared" si="126"/>
        <v>400</v>
      </c>
      <c r="D1217" t="str">
        <f>"619123"</f>
        <v>619123</v>
      </c>
      <c r="E1217" t="s">
        <v>19</v>
      </c>
      <c r="F1217" t="s">
        <v>1190</v>
      </c>
      <c r="G1217">
        <v>250</v>
      </c>
      <c r="I1217">
        <v>15.75</v>
      </c>
      <c r="J1217">
        <v>0</v>
      </c>
      <c r="K1217" t="str">
        <f t="shared" si="129"/>
        <v>31000</v>
      </c>
    </row>
    <row r="1218" spans="1:14" x14ac:dyDescent="0.3">
      <c r="A1218" t="s">
        <v>17</v>
      </c>
      <c r="B1218" t="s">
        <v>18</v>
      </c>
      <c r="C1218" t="str">
        <f t="shared" ref="C1218:C1273" si="131">"400"</f>
        <v>400</v>
      </c>
      <c r="D1218" t="str">
        <f>"619745"</f>
        <v>619745</v>
      </c>
      <c r="E1218" t="s">
        <v>19</v>
      </c>
      <c r="F1218" t="s">
        <v>1191</v>
      </c>
      <c r="G1218">
        <v>250</v>
      </c>
      <c r="H1218" t="str">
        <f>""</f>
        <v/>
      </c>
      <c r="I1218">
        <v>5.8</v>
      </c>
      <c r="J1218">
        <v>0</v>
      </c>
      <c r="K1218" t="str">
        <f t="shared" si="129"/>
        <v>31000</v>
      </c>
      <c r="L1218" t="str">
        <f t="shared" ref="L1218:N1221" si="132">"0"</f>
        <v>0</v>
      </c>
      <c r="M1218" t="str">
        <f t="shared" si="132"/>
        <v>0</v>
      </c>
      <c r="N1218" t="str">
        <f t="shared" si="132"/>
        <v>0</v>
      </c>
    </row>
    <row r="1219" spans="1:14" x14ac:dyDescent="0.3">
      <c r="A1219" t="s">
        <v>17</v>
      </c>
      <c r="B1219" t="s">
        <v>18</v>
      </c>
      <c r="C1219" t="str">
        <f t="shared" si="131"/>
        <v>400</v>
      </c>
      <c r="D1219" t="str">
        <f>"620131"</f>
        <v>620131</v>
      </c>
      <c r="E1219" t="s">
        <v>19</v>
      </c>
      <c r="F1219" t="s">
        <v>1192</v>
      </c>
      <c r="G1219">
        <v>250</v>
      </c>
      <c r="H1219" t="str">
        <f>""</f>
        <v/>
      </c>
      <c r="I1219">
        <v>4.5</v>
      </c>
      <c r="J1219">
        <v>0</v>
      </c>
      <c r="K1219" t="str">
        <f t="shared" si="129"/>
        <v>31000</v>
      </c>
      <c r="L1219" t="str">
        <f t="shared" si="132"/>
        <v>0</v>
      </c>
      <c r="M1219" t="str">
        <f t="shared" si="132"/>
        <v>0</v>
      </c>
      <c r="N1219" t="str">
        <f t="shared" si="132"/>
        <v>0</v>
      </c>
    </row>
    <row r="1220" spans="1:14" x14ac:dyDescent="0.3">
      <c r="A1220" t="s">
        <v>17</v>
      </c>
      <c r="B1220" t="s">
        <v>18</v>
      </c>
      <c r="C1220" t="str">
        <f t="shared" si="131"/>
        <v>400</v>
      </c>
      <c r="D1220" t="str">
        <f>"620145"</f>
        <v>620145</v>
      </c>
      <c r="E1220" t="s">
        <v>19</v>
      </c>
      <c r="F1220" t="s">
        <v>1193</v>
      </c>
      <c r="G1220">
        <v>250</v>
      </c>
      <c r="H1220" t="str">
        <f>""</f>
        <v/>
      </c>
      <c r="I1220">
        <v>3.5</v>
      </c>
      <c r="J1220">
        <v>0</v>
      </c>
      <c r="K1220" t="str">
        <f t="shared" si="129"/>
        <v>31000</v>
      </c>
      <c r="L1220" t="str">
        <f t="shared" si="132"/>
        <v>0</v>
      </c>
      <c r="M1220" t="str">
        <f t="shared" si="132"/>
        <v>0</v>
      </c>
      <c r="N1220" t="str">
        <f t="shared" si="132"/>
        <v>0</v>
      </c>
    </row>
    <row r="1221" spans="1:14" x14ac:dyDescent="0.3">
      <c r="A1221" t="s">
        <v>17</v>
      </c>
      <c r="B1221" t="s">
        <v>18</v>
      </c>
      <c r="C1221" t="str">
        <f t="shared" si="131"/>
        <v>400</v>
      </c>
      <c r="D1221" t="str">
        <f>"620496"</f>
        <v>620496</v>
      </c>
      <c r="E1221" t="s">
        <v>19</v>
      </c>
      <c r="F1221" t="s">
        <v>1194</v>
      </c>
      <c r="G1221">
        <v>250</v>
      </c>
      <c r="H1221" t="str">
        <f>""</f>
        <v/>
      </c>
      <c r="I1221">
        <v>5.5</v>
      </c>
      <c r="J1221">
        <v>0</v>
      </c>
      <c r="K1221" t="str">
        <f t="shared" si="129"/>
        <v>31000</v>
      </c>
      <c r="L1221" t="str">
        <f t="shared" si="132"/>
        <v>0</v>
      </c>
      <c r="M1221" t="str">
        <f t="shared" si="132"/>
        <v>0</v>
      </c>
      <c r="N1221" t="str">
        <f t="shared" si="132"/>
        <v>0</v>
      </c>
    </row>
    <row r="1222" spans="1:14" x14ac:dyDescent="0.3">
      <c r="A1222" t="s">
        <v>17</v>
      </c>
      <c r="B1222" t="s">
        <v>18</v>
      </c>
      <c r="C1222" t="str">
        <f t="shared" si="131"/>
        <v>400</v>
      </c>
      <c r="D1222" t="str">
        <f>"620555"</f>
        <v>620555</v>
      </c>
      <c r="E1222" t="s">
        <v>19</v>
      </c>
      <c r="F1222" t="s">
        <v>1195</v>
      </c>
      <c r="G1222">
        <v>250</v>
      </c>
      <c r="I1222">
        <v>3.25</v>
      </c>
      <c r="J1222">
        <v>0</v>
      </c>
      <c r="K1222" t="str">
        <f t="shared" si="129"/>
        <v>31000</v>
      </c>
    </row>
    <row r="1223" spans="1:14" x14ac:dyDescent="0.3">
      <c r="A1223" t="s">
        <v>17</v>
      </c>
      <c r="B1223" t="s">
        <v>18</v>
      </c>
      <c r="C1223" t="str">
        <f t="shared" si="131"/>
        <v>400</v>
      </c>
      <c r="D1223" t="str">
        <f>"620615"</f>
        <v>620615</v>
      </c>
      <c r="E1223" t="s">
        <v>19</v>
      </c>
      <c r="F1223" t="s">
        <v>1196</v>
      </c>
      <c r="G1223">
        <v>250</v>
      </c>
      <c r="I1223">
        <v>9.24</v>
      </c>
      <c r="J1223">
        <v>0</v>
      </c>
      <c r="K1223" t="str">
        <f t="shared" si="129"/>
        <v>31000</v>
      </c>
    </row>
    <row r="1224" spans="1:14" x14ac:dyDescent="0.3">
      <c r="A1224" t="s">
        <v>17</v>
      </c>
      <c r="B1224" t="s">
        <v>18</v>
      </c>
      <c r="C1224" t="str">
        <f t="shared" si="131"/>
        <v>400</v>
      </c>
      <c r="D1224" t="str">
        <f>"620666"</f>
        <v>620666</v>
      </c>
      <c r="E1224" t="s">
        <v>19</v>
      </c>
      <c r="F1224" t="s">
        <v>1197</v>
      </c>
      <c r="G1224">
        <v>250</v>
      </c>
      <c r="I1224">
        <v>14.04</v>
      </c>
      <c r="J1224">
        <v>0</v>
      </c>
      <c r="K1224" t="str">
        <f t="shared" si="129"/>
        <v>31000</v>
      </c>
    </row>
    <row r="1225" spans="1:14" x14ac:dyDescent="0.3">
      <c r="A1225" t="s">
        <v>17</v>
      </c>
      <c r="B1225" t="s">
        <v>18</v>
      </c>
      <c r="C1225" t="str">
        <f t="shared" si="131"/>
        <v>400</v>
      </c>
      <c r="D1225" t="str">
        <f>"620667"</f>
        <v>620667</v>
      </c>
      <c r="E1225" t="s">
        <v>19</v>
      </c>
      <c r="F1225" t="s">
        <v>1198</v>
      </c>
      <c r="G1225">
        <v>250</v>
      </c>
      <c r="I1225">
        <v>78.989999999999995</v>
      </c>
      <c r="J1225">
        <v>0</v>
      </c>
      <c r="K1225" t="str">
        <f t="shared" si="129"/>
        <v>31000</v>
      </c>
    </row>
    <row r="1226" spans="1:14" x14ac:dyDescent="0.3">
      <c r="A1226" t="s">
        <v>17</v>
      </c>
      <c r="B1226" t="s">
        <v>18</v>
      </c>
      <c r="C1226" t="str">
        <f t="shared" si="131"/>
        <v>400</v>
      </c>
      <c r="D1226" t="str">
        <f>"620888"</f>
        <v>620888</v>
      </c>
      <c r="E1226" t="s">
        <v>19</v>
      </c>
      <c r="F1226" t="s">
        <v>1199</v>
      </c>
      <c r="G1226">
        <v>250</v>
      </c>
      <c r="I1226">
        <v>26.88</v>
      </c>
      <c r="J1226">
        <v>0</v>
      </c>
      <c r="K1226" t="str">
        <f t="shared" si="129"/>
        <v>31000</v>
      </c>
    </row>
    <row r="1227" spans="1:14" x14ac:dyDescent="0.3">
      <c r="A1227" t="s">
        <v>17</v>
      </c>
      <c r="B1227" t="s">
        <v>18</v>
      </c>
      <c r="C1227" t="str">
        <f t="shared" si="131"/>
        <v>400</v>
      </c>
      <c r="D1227" t="str">
        <f>"620920"</f>
        <v>620920</v>
      </c>
      <c r="E1227" t="s">
        <v>19</v>
      </c>
      <c r="F1227" t="s">
        <v>1200</v>
      </c>
      <c r="G1227">
        <v>250</v>
      </c>
      <c r="H1227" t="str">
        <f>""</f>
        <v/>
      </c>
      <c r="I1227">
        <v>2.5</v>
      </c>
      <c r="J1227">
        <v>0</v>
      </c>
      <c r="K1227" t="str">
        <f t="shared" si="129"/>
        <v>31000</v>
      </c>
      <c r="L1227" t="str">
        <f t="shared" ref="L1227:N1228" si="133">"0"</f>
        <v>0</v>
      </c>
      <c r="M1227" t="str">
        <f t="shared" si="133"/>
        <v>0</v>
      </c>
      <c r="N1227" t="str">
        <f t="shared" si="133"/>
        <v>0</v>
      </c>
    </row>
    <row r="1228" spans="1:14" x14ac:dyDescent="0.3">
      <c r="A1228" t="s">
        <v>17</v>
      </c>
      <c r="B1228" t="s">
        <v>18</v>
      </c>
      <c r="C1228" t="str">
        <f t="shared" si="131"/>
        <v>400</v>
      </c>
      <c r="D1228" t="str">
        <f>"621458"</f>
        <v>621458</v>
      </c>
      <c r="E1228" t="s">
        <v>19</v>
      </c>
      <c r="F1228" t="s">
        <v>1201</v>
      </c>
      <c r="G1228">
        <v>250</v>
      </c>
      <c r="H1228" t="str">
        <f>""</f>
        <v/>
      </c>
      <c r="I1228">
        <v>187.17</v>
      </c>
      <c r="J1228">
        <v>0</v>
      </c>
      <c r="K1228" t="str">
        <f t="shared" si="129"/>
        <v>31000</v>
      </c>
      <c r="L1228" t="str">
        <f t="shared" si="133"/>
        <v>0</v>
      </c>
      <c r="M1228" t="str">
        <f t="shared" si="133"/>
        <v>0</v>
      </c>
      <c r="N1228" t="str">
        <f t="shared" si="133"/>
        <v>0</v>
      </c>
    </row>
    <row r="1229" spans="1:14" x14ac:dyDescent="0.3">
      <c r="A1229" t="s">
        <v>17</v>
      </c>
      <c r="B1229" t="s">
        <v>18</v>
      </c>
      <c r="C1229" t="str">
        <f t="shared" si="131"/>
        <v>400</v>
      </c>
      <c r="D1229" t="str">
        <f>"621621"</f>
        <v>621621</v>
      </c>
      <c r="E1229" t="s">
        <v>19</v>
      </c>
      <c r="F1229" t="s">
        <v>1202</v>
      </c>
      <c r="G1229">
        <v>250</v>
      </c>
      <c r="I1229">
        <v>29.1</v>
      </c>
      <c r="J1229">
        <v>0</v>
      </c>
      <c r="K1229" t="str">
        <f t="shared" si="129"/>
        <v>31000</v>
      </c>
    </row>
    <row r="1230" spans="1:14" x14ac:dyDescent="0.3">
      <c r="A1230" t="s">
        <v>17</v>
      </c>
      <c r="B1230" t="s">
        <v>18</v>
      </c>
      <c r="C1230" t="str">
        <f t="shared" si="131"/>
        <v>400</v>
      </c>
      <c r="D1230" t="str">
        <f>"622985"</f>
        <v>622985</v>
      </c>
      <c r="E1230" t="s">
        <v>19</v>
      </c>
      <c r="F1230" t="s">
        <v>1203</v>
      </c>
      <c r="G1230">
        <v>250</v>
      </c>
      <c r="I1230">
        <v>6.75</v>
      </c>
      <c r="J1230">
        <v>0</v>
      </c>
      <c r="K1230" t="str">
        <f t="shared" si="129"/>
        <v>31000</v>
      </c>
    </row>
    <row r="1231" spans="1:14" x14ac:dyDescent="0.3">
      <c r="A1231" t="s">
        <v>17</v>
      </c>
      <c r="B1231" t="s">
        <v>18</v>
      </c>
      <c r="C1231" t="str">
        <f t="shared" si="131"/>
        <v>400</v>
      </c>
      <c r="D1231" t="str">
        <f>"625415"</f>
        <v>625415</v>
      </c>
      <c r="E1231" t="s">
        <v>19</v>
      </c>
      <c r="F1231" t="s">
        <v>1204</v>
      </c>
      <c r="G1231">
        <v>250</v>
      </c>
      <c r="H1231" t="str">
        <f>""</f>
        <v/>
      </c>
      <c r="I1231">
        <v>7</v>
      </c>
      <c r="J1231">
        <v>0</v>
      </c>
      <c r="K1231" t="str">
        <f t="shared" si="129"/>
        <v>31000</v>
      </c>
      <c r="L1231" t="str">
        <f t="shared" ref="L1231:N1233" si="134">"0"</f>
        <v>0</v>
      </c>
      <c r="M1231" t="str">
        <f t="shared" si="134"/>
        <v>0</v>
      </c>
      <c r="N1231" t="str">
        <f t="shared" si="134"/>
        <v>0</v>
      </c>
    </row>
    <row r="1232" spans="1:14" x14ac:dyDescent="0.3">
      <c r="A1232" t="s">
        <v>17</v>
      </c>
      <c r="B1232" t="s">
        <v>18</v>
      </c>
      <c r="C1232" t="str">
        <f t="shared" si="131"/>
        <v>400</v>
      </c>
      <c r="D1232" t="str">
        <f>"625416"</f>
        <v>625416</v>
      </c>
      <c r="E1232" t="s">
        <v>19</v>
      </c>
      <c r="F1232" t="s">
        <v>1205</v>
      </c>
      <c r="G1232">
        <v>250</v>
      </c>
      <c r="H1232" t="str">
        <f>""</f>
        <v/>
      </c>
      <c r="I1232">
        <v>20</v>
      </c>
      <c r="J1232">
        <v>0</v>
      </c>
      <c r="K1232" t="str">
        <f t="shared" si="129"/>
        <v>31000</v>
      </c>
      <c r="L1232" t="str">
        <f t="shared" si="134"/>
        <v>0</v>
      </c>
      <c r="M1232" t="str">
        <f t="shared" si="134"/>
        <v>0</v>
      </c>
      <c r="N1232" t="str">
        <f t="shared" si="134"/>
        <v>0</v>
      </c>
    </row>
    <row r="1233" spans="1:17" x14ac:dyDescent="0.3">
      <c r="A1233" t="s">
        <v>17</v>
      </c>
      <c r="B1233" t="s">
        <v>18</v>
      </c>
      <c r="C1233" t="str">
        <f t="shared" si="131"/>
        <v>400</v>
      </c>
      <c r="D1233" t="str">
        <f>"625478"</f>
        <v>625478</v>
      </c>
      <c r="E1233" t="s">
        <v>19</v>
      </c>
      <c r="F1233" t="s">
        <v>1206</v>
      </c>
      <c r="G1233">
        <v>250</v>
      </c>
      <c r="H1233" t="str">
        <f>""</f>
        <v/>
      </c>
      <c r="I1233">
        <v>104.85</v>
      </c>
      <c r="J1233">
        <v>0</v>
      </c>
      <c r="K1233" t="str">
        <f t="shared" si="129"/>
        <v>31000</v>
      </c>
      <c r="L1233" t="str">
        <f t="shared" si="134"/>
        <v>0</v>
      </c>
      <c r="M1233" t="str">
        <f t="shared" si="134"/>
        <v>0</v>
      </c>
      <c r="N1233" t="str">
        <f t="shared" si="134"/>
        <v>0</v>
      </c>
    </row>
    <row r="1234" spans="1:17" x14ac:dyDescent="0.3">
      <c r="A1234" t="s">
        <v>17</v>
      </c>
      <c r="B1234" t="s">
        <v>18</v>
      </c>
      <c r="C1234" t="str">
        <f t="shared" si="131"/>
        <v>400</v>
      </c>
      <c r="D1234" t="str">
        <f>"625847"</f>
        <v>625847</v>
      </c>
      <c r="E1234" t="s">
        <v>19</v>
      </c>
      <c r="F1234" t="s">
        <v>1207</v>
      </c>
      <c r="G1234">
        <v>250</v>
      </c>
      <c r="I1234">
        <v>42.21</v>
      </c>
      <c r="J1234">
        <v>0</v>
      </c>
      <c r="K1234" t="str">
        <f t="shared" si="129"/>
        <v>31000</v>
      </c>
    </row>
    <row r="1235" spans="1:17" x14ac:dyDescent="0.3">
      <c r="A1235" t="s">
        <v>17</v>
      </c>
      <c r="B1235" t="s">
        <v>18</v>
      </c>
      <c r="C1235" t="str">
        <f t="shared" si="131"/>
        <v>400</v>
      </c>
      <c r="D1235" t="str">
        <f>"625871"</f>
        <v>625871</v>
      </c>
      <c r="E1235" t="s">
        <v>19</v>
      </c>
      <c r="F1235" t="s">
        <v>1208</v>
      </c>
      <c r="G1235">
        <v>250</v>
      </c>
      <c r="H1235" t="str">
        <f>""</f>
        <v/>
      </c>
      <c r="I1235">
        <v>4.5</v>
      </c>
      <c r="J1235">
        <v>0</v>
      </c>
      <c r="K1235" t="str">
        <f t="shared" si="129"/>
        <v>31000</v>
      </c>
      <c r="L1235" t="str">
        <f>"0"</f>
        <v>0</v>
      </c>
      <c r="M1235" t="str">
        <f>"0"</f>
        <v>0</v>
      </c>
      <c r="N1235" t="str">
        <f>"0"</f>
        <v>0</v>
      </c>
    </row>
    <row r="1236" spans="1:17" x14ac:dyDescent="0.3">
      <c r="A1236" t="s">
        <v>17</v>
      </c>
      <c r="B1236" t="s">
        <v>18</v>
      </c>
      <c r="C1236" t="str">
        <f t="shared" si="131"/>
        <v>400</v>
      </c>
      <c r="D1236" t="str">
        <f>"629598"</f>
        <v>629598</v>
      </c>
      <c r="E1236" t="s">
        <v>19</v>
      </c>
      <c r="F1236" t="s">
        <v>1209</v>
      </c>
      <c r="G1236">
        <v>250</v>
      </c>
      <c r="I1236">
        <v>1.95</v>
      </c>
      <c r="J1236">
        <v>0</v>
      </c>
      <c r="K1236" t="str">
        <f t="shared" si="129"/>
        <v>31000</v>
      </c>
    </row>
    <row r="1237" spans="1:17" x14ac:dyDescent="0.3">
      <c r="A1237" t="s">
        <v>17</v>
      </c>
      <c r="B1237" t="s">
        <v>18</v>
      </c>
      <c r="C1237" t="str">
        <f t="shared" si="131"/>
        <v>400</v>
      </c>
      <c r="D1237" t="str">
        <f>"630111"</f>
        <v>630111</v>
      </c>
      <c r="E1237" t="s">
        <v>19</v>
      </c>
      <c r="F1237" t="s">
        <v>1210</v>
      </c>
      <c r="G1237">
        <v>250</v>
      </c>
      <c r="I1237">
        <v>1.18</v>
      </c>
      <c r="J1237">
        <v>0</v>
      </c>
      <c r="K1237" t="str">
        <f t="shared" si="129"/>
        <v>31000</v>
      </c>
    </row>
    <row r="1238" spans="1:17" x14ac:dyDescent="0.3">
      <c r="A1238" t="s">
        <v>17</v>
      </c>
      <c r="B1238" t="s">
        <v>18</v>
      </c>
      <c r="C1238" t="str">
        <f t="shared" si="131"/>
        <v>400</v>
      </c>
      <c r="D1238" t="str">
        <f>"632918"</f>
        <v>632918</v>
      </c>
      <c r="E1238" t="s">
        <v>19</v>
      </c>
      <c r="F1238" t="s">
        <v>1211</v>
      </c>
      <c r="G1238">
        <v>250</v>
      </c>
      <c r="H1238" t="str">
        <f>""</f>
        <v/>
      </c>
      <c r="I1238">
        <v>2.5</v>
      </c>
      <c r="J1238">
        <v>0</v>
      </c>
      <c r="K1238" t="str">
        <f t="shared" si="129"/>
        <v>31000</v>
      </c>
      <c r="L1238" t="str">
        <f t="shared" ref="L1238:N1239" si="135">"0"</f>
        <v>0</v>
      </c>
      <c r="M1238" t="str">
        <f t="shared" si="135"/>
        <v>0</v>
      </c>
      <c r="N1238" t="str">
        <f t="shared" si="135"/>
        <v>0</v>
      </c>
    </row>
    <row r="1239" spans="1:17" x14ac:dyDescent="0.3">
      <c r="A1239" t="s">
        <v>17</v>
      </c>
      <c r="B1239" t="s">
        <v>18</v>
      </c>
      <c r="C1239" t="str">
        <f t="shared" si="131"/>
        <v>400</v>
      </c>
      <c r="D1239" t="str">
        <f>"635123"</f>
        <v>635123</v>
      </c>
      <c r="E1239" t="s">
        <v>19</v>
      </c>
      <c r="F1239" t="s">
        <v>1212</v>
      </c>
      <c r="G1239">
        <v>250</v>
      </c>
      <c r="H1239" t="str">
        <f>""</f>
        <v/>
      </c>
      <c r="I1239">
        <v>19.95</v>
      </c>
      <c r="J1239">
        <v>0</v>
      </c>
      <c r="K1239" t="str">
        <f t="shared" si="129"/>
        <v>31000</v>
      </c>
      <c r="L1239" t="str">
        <f t="shared" si="135"/>
        <v>0</v>
      </c>
      <c r="M1239" t="str">
        <f t="shared" si="135"/>
        <v>0</v>
      </c>
      <c r="N1239" t="str">
        <f t="shared" si="135"/>
        <v>0</v>
      </c>
    </row>
    <row r="1240" spans="1:17" x14ac:dyDescent="0.3">
      <c r="A1240" t="s">
        <v>17</v>
      </c>
      <c r="B1240" t="s">
        <v>18</v>
      </c>
      <c r="C1240" t="str">
        <f t="shared" si="131"/>
        <v>400</v>
      </c>
      <c r="D1240" t="str">
        <f>"640000"</f>
        <v>640000</v>
      </c>
      <c r="E1240" t="s">
        <v>19</v>
      </c>
      <c r="F1240" t="s">
        <v>1213</v>
      </c>
      <c r="G1240">
        <v>250</v>
      </c>
      <c r="I1240">
        <v>0</v>
      </c>
      <c r="J1240">
        <v>0</v>
      </c>
      <c r="K1240" t="str">
        <f t="shared" si="129"/>
        <v>31000</v>
      </c>
    </row>
    <row r="1241" spans="1:17" x14ac:dyDescent="0.3">
      <c r="A1241" t="s">
        <v>17</v>
      </c>
      <c r="B1241" t="s">
        <v>18</v>
      </c>
      <c r="C1241" t="str">
        <f t="shared" si="131"/>
        <v>400</v>
      </c>
      <c r="D1241" t="str">
        <f>"640001"</f>
        <v>640001</v>
      </c>
      <c r="E1241" t="s">
        <v>19</v>
      </c>
      <c r="F1241" t="s">
        <v>1214</v>
      </c>
      <c r="G1241">
        <v>250</v>
      </c>
      <c r="I1241">
        <v>3</v>
      </c>
      <c r="J1241">
        <v>0</v>
      </c>
      <c r="K1241" t="str">
        <f t="shared" si="129"/>
        <v>31000</v>
      </c>
      <c r="P1241">
        <v>0</v>
      </c>
      <c r="Q1241" s="2">
        <v>42842</v>
      </c>
    </row>
    <row r="1242" spans="1:17" x14ac:dyDescent="0.3">
      <c r="A1242" t="s">
        <v>17</v>
      </c>
      <c r="B1242" t="s">
        <v>18</v>
      </c>
      <c r="C1242" t="str">
        <f t="shared" si="131"/>
        <v>400</v>
      </c>
      <c r="D1242" t="str">
        <f>"640012"</f>
        <v>640012</v>
      </c>
      <c r="E1242" t="s">
        <v>19</v>
      </c>
      <c r="F1242" t="s">
        <v>1215</v>
      </c>
      <c r="G1242">
        <v>250</v>
      </c>
      <c r="I1242">
        <v>3.5</v>
      </c>
      <c r="J1242">
        <v>0</v>
      </c>
      <c r="K1242" t="str">
        <f t="shared" si="129"/>
        <v>31000</v>
      </c>
      <c r="P1242">
        <v>0</v>
      </c>
      <c r="Q1242" s="2">
        <v>42843</v>
      </c>
    </row>
    <row r="1243" spans="1:17" x14ac:dyDescent="0.3">
      <c r="A1243" t="s">
        <v>17</v>
      </c>
      <c r="B1243" t="s">
        <v>18</v>
      </c>
      <c r="C1243" t="str">
        <f t="shared" si="131"/>
        <v>400</v>
      </c>
      <c r="D1243" t="str">
        <f>"640014"</f>
        <v>640014</v>
      </c>
      <c r="E1243" t="s">
        <v>19</v>
      </c>
      <c r="F1243" t="s">
        <v>1216</v>
      </c>
      <c r="G1243">
        <v>250</v>
      </c>
      <c r="I1243">
        <v>2.5</v>
      </c>
      <c r="J1243">
        <v>0</v>
      </c>
      <c r="K1243" t="str">
        <f t="shared" si="129"/>
        <v>31000</v>
      </c>
    </row>
    <row r="1244" spans="1:17" x14ac:dyDescent="0.3">
      <c r="A1244" t="s">
        <v>17</v>
      </c>
      <c r="B1244" t="s">
        <v>18</v>
      </c>
      <c r="C1244" t="str">
        <f t="shared" si="131"/>
        <v>400</v>
      </c>
      <c r="D1244" t="str">
        <f>"640015"</f>
        <v>640015</v>
      </c>
      <c r="E1244" t="s">
        <v>19</v>
      </c>
      <c r="F1244" t="s">
        <v>1214</v>
      </c>
      <c r="G1244">
        <v>250</v>
      </c>
      <c r="I1244">
        <v>3</v>
      </c>
      <c r="J1244">
        <v>0</v>
      </c>
      <c r="K1244" t="str">
        <f t="shared" si="129"/>
        <v>31000</v>
      </c>
    </row>
    <row r="1245" spans="1:17" x14ac:dyDescent="0.3">
      <c r="A1245" t="s">
        <v>17</v>
      </c>
      <c r="B1245" t="s">
        <v>18</v>
      </c>
      <c r="C1245" t="str">
        <f t="shared" si="131"/>
        <v>400</v>
      </c>
      <c r="D1245" t="str">
        <f>"640019"</f>
        <v>640019</v>
      </c>
      <c r="E1245" t="s">
        <v>19</v>
      </c>
      <c r="F1245" t="s">
        <v>1217</v>
      </c>
      <c r="G1245">
        <v>250</v>
      </c>
      <c r="I1245">
        <v>3.5</v>
      </c>
      <c r="J1245">
        <v>0</v>
      </c>
      <c r="K1245" t="str">
        <f t="shared" si="129"/>
        <v>31000</v>
      </c>
    </row>
    <row r="1246" spans="1:17" x14ac:dyDescent="0.3">
      <c r="A1246" t="s">
        <v>17</v>
      </c>
      <c r="B1246" t="s">
        <v>18</v>
      </c>
      <c r="C1246" t="str">
        <f t="shared" si="131"/>
        <v>400</v>
      </c>
      <c r="D1246" t="str">
        <f>"640100"</f>
        <v>640100</v>
      </c>
      <c r="E1246" t="s">
        <v>19</v>
      </c>
      <c r="F1246" t="s">
        <v>1218</v>
      </c>
      <c r="G1246">
        <v>250</v>
      </c>
      <c r="I1246">
        <v>16.829999999999998</v>
      </c>
      <c r="J1246">
        <v>0</v>
      </c>
      <c r="K1246" t="str">
        <f t="shared" si="129"/>
        <v>31000</v>
      </c>
    </row>
    <row r="1247" spans="1:17" x14ac:dyDescent="0.3">
      <c r="A1247" t="s">
        <v>17</v>
      </c>
      <c r="B1247" t="s">
        <v>18</v>
      </c>
      <c r="C1247" t="str">
        <f t="shared" si="131"/>
        <v>400</v>
      </c>
      <c r="D1247" t="str">
        <f>"640148"</f>
        <v>640148</v>
      </c>
      <c r="E1247" t="s">
        <v>19</v>
      </c>
      <c r="F1247" t="s">
        <v>1219</v>
      </c>
      <c r="G1247">
        <v>250</v>
      </c>
      <c r="I1247">
        <v>2</v>
      </c>
      <c r="J1247">
        <v>0</v>
      </c>
      <c r="K1247" t="str">
        <f t="shared" si="129"/>
        <v>31000</v>
      </c>
    </row>
    <row r="1248" spans="1:17" x14ac:dyDescent="0.3">
      <c r="A1248" t="s">
        <v>17</v>
      </c>
      <c r="B1248" t="s">
        <v>18</v>
      </c>
      <c r="C1248" t="str">
        <f t="shared" si="131"/>
        <v>400</v>
      </c>
      <c r="D1248" t="str">
        <f>"641588"</f>
        <v>641588</v>
      </c>
      <c r="E1248" t="s">
        <v>19</v>
      </c>
      <c r="F1248" t="s">
        <v>1220</v>
      </c>
      <c r="G1248">
        <v>250</v>
      </c>
      <c r="H1248" t="str">
        <f>""</f>
        <v/>
      </c>
      <c r="I1248">
        <v>13.92</v>
      </c>
      <c r="J1248">
        <v>0</v>
      </c>
      <c r="K1248" t="str">
        <f t="shared" si="129"/>
        <v>31000</v>
      </c>
      <c r="L1248" t="str">
        <f t="shared" ref="L1248:N1251" si="136">"0"</f>
        <v>0</v>
      </c>
      <c r="M1248" t="str">
        <f t="shared" si="136"/>
        <v>0</v>
      </c>
      <c r="N1248" t="str">
        <f t="shared" si="136"/>
        <v>0</v>
      </c>
    </row>
    <row r="1249" spans="1:14" x14ac:dyDescent="0.3">
      <c r="A1249" t="s">
        <v>17</v>
      </c>
      <c r="B1249" t="s">
        <v>18</v>
      </c>
      <c r="C1249" t="str">
        <f t="shared" si="131"/>
        <v>400</v>
      </c>
      <c r="D1249" t="str">
        <f>"641589"</f>
        <v>641589</v>
      </c>
      <c r="E1249" t="s">
        <v>19</v>
      </c>
      <c r="F1249" t="s">
        <v>1221</v>
      </c>
      <c r="G1249">
        <v>250</v>
      </c>
      <c r="H1249" t="str">
        <f>""</f>
        <v/>
      </c>
      <c r="I1249">
        <v>6.6</v>
      </c>
      <c r="J1249">
        <v>0</v>
      </c>
      <c r="K1249" t="str">
        <f t="shared" si="129"/>
        <v>31000</v>
      </c>
      <c r="L1249" t="str">
        <f t="shared" si="136"/>
        <v>0</v>
      </c>
      <c r="M1249" t="str">
        <f t="shared" si="136"/>
        <v>0</v>
      </c>
      <c r="N1249" t="str">
        <f t="shared" si="136"/>
        <v>0</v>
      </c>
    </row>
    <row r="1250" spans="1:14" x14ac:dyDescent="0.3">
      <c r="A1250" t="s">
        <v>17</v>
      </c>
      <c r="B1250" t="s">
        <v>18</v>
      </c>
      <c r="C1250" t="str">
        <f t="shared" si="131"/>
        <v>400</v>
      </c>
      <c r="D1250" t="str">
        <f>"642859"</f>
        <v>642859</v>
      </c>
      <c r="E1250" t="s">
        <v>19</v>
      </c>
      <c r="F1250" t="s">
        <v>1222</v>
      </c>
      <c r="G1250">
        <v>250</v>
      </c>
      <c r="H1250" t="str">
        <f>""</f>
        <v/>
      </c>
      <c r="I1250">
        <v>24</v>
      </c>
      <c r="J1250">
        <v>0</v>
      </c>
      <c r="K1250" t="str">
        <f t="shared" si="129"/>
        <v>31000</v>
      </c>
      <c r="L1250" t="str">
        <f t="shared" si="136"/>
        <v>0</v>
      </c>
      <c r="M1250" t="str">
        <f t="shared" si="136"/>
        <v>0</v>
      </c>
      <c r="N1250" t="str">
        <f t="shared" si="136"/>
        <v>0</v>
      </c>
    </row>
    <row r="1251" spans="1:14" x14ac:dyDescent="0.3">
      <c r="A1251" t="s">
        <v>17</v>
      </c>
      <c r="B1251" t="s">
        <v>18</v>
      </c>
      <c r="C1251" t="str">
        <f t="shared" si="131"/>
        <v>400</v>
      </c>
      <c r="D1251" t="str">
        <f>"643987"</f>
        <v>643987</v>
      </c>
      <c r="E1251" t="s">
        <v>19</v>
      </c>
      <c r="F1251" t="s">
        <v>1223</v>
      </c>
      <c r="G1251">
        <v>250</v>
      </c>
      <c r="H1251" t="str">
        <f>""</f>
        <v/>
      </c>
      <c r="I1251">
        <v>5.99</v>
      </c>
      <c r="J1251">
        <v>0</v>
      </c>
      <c r="K1251" t="str">
        <f t="shared" si="129"/>
        <v>31000</v>
      </c>
      <c r="L1251" t="str">
        <f t="shared" si="136"/>
        <v>0</v>
      </c>
      <c r="M1251" t="str">
        <f t="shared" si="136"/>
        <v>0</v>
      </c>
      <c r="N1251" t="str">
        <f t="shared" si="136"/>
        <v>0</v>
      </c>
    </row>
    <row r="1252" spans="1:14" x14ac:dyDescent="0.3">
      <c r="A1252" t="s">
        <v>17</v>
      </c>
      <c r="B1252" t="s">
        <v>18</v>
      </c>
      <c r="C1252" t="str">
        <f t="shared" si="131"/>
        <v>400</v>
      </c>
      <c r="D1252" t="str">
        <f>"644444"</f>
        <v>644444</v>
      </c>
      <c r="E1252" t="s">
        <v>19</v>
      </c>
      <c r="F1252" t="s">
        <v>1224</v>
      </c>
      <c r="G1252">
        <v>250</v>
      </c>
      <c r="I1252">
        <v>11.37</v>
      </c>
      <c r="J1252">
        <v>0</v>
      </c>
      <c r="K1252" t="str">
        <f t="shared" si="129"/>
        <v>31000</v>
      </c>
    </row>
    <row r="1253" spans="1:14" x14ac:dyDescent="0.3">
      <c r="A1253" t="s">
        <v>17</v>
      </c>
      <c r="B1253" t="s">
        <v>18</v>
      </c>
      <c r="C1253" t="str">
        <f t="shared" si="131"/>
        <v>400</v>
      </c>
      <c r="D1253" t="str">
        <f>"647898"</f>
        <v>647898</v>
      </c>
      <c r="E1253" t="s">
        <v>19</v>
      </c>
      <c r="F1253" t="s">
        <v>1225</v>
      </c>
      <c r="G1253">
        <v>250</v>
      </c>
      <c r="H1253" t="str">
        <f>""</f>
        <v/>
      </c>
      <c r="I1253">
        <v>19.95</v>
      </c>
      <c r="J1253">
        <v>0</v>
      </c>
      <c r="K1253" t="str">
        <f t="shared" si="129"/>
        <v>31000</v>
      </c>
      <c r="L1253" t="str">
        <f t="shared" ref="L1253:N1258" si="137">"0"</f>
        <v>0</v>
      </c>
      <c r="M1253" t="str">
        <f t="shared" si="137"/>
        <v>0</v>
      </c>
      <c r="N1253" t="str">
        <f t="shared" si="137"/>
        <v>0</v>
      </c>
    </row>
    <row r="1254" spans="1:14" x14ac:dyDescent="0.3">
      <c r="A1254" t="s">
        <v>17</v>
      </c>
      <c r="B1254" t="s">
        <v>18</v>
      </c>
      <c r="C1254" t="str">
        <f t="shared" si="131"/>
        <v>400</v>
      </c>
      <c r="D1254" t="str">
        <f>"647910"</f>
        <v>647910</v>
      </c>
      <c r="E1254" t="s">
        <v>19</v>
      </c>
      <c r="F1254" t="s">
        <v>1226</v>
      </c>
      <c r="G1254">
        <v>250</v>
      </c>
      <c r="H1254" t="str">
        <f>""</f>
        <v/>
      </c>
      <c r="I1254">
        <v>182.07</v>
      </c>
      <c r="J1254">
        <v>0</v>
      </c>
      <c r="K1254" t="str">
        <f t="shared" si="129"/>
        <v>31000</v>
      </c>
      <c r="L1254" t="str">
        <f t="shared" si="137"/>
        <v>0</v>
      </c>
      <c r="M1254" t="str">
        <f t="shared" si="137"/>
        <v>0</v>
      </c>
      <c r="N1254" t="str">
        <f t="shared" si="137"/>
        <v>0</v>
      </c>
    </row>
    <row r="1255" spans="1:14" x14ac:dyDescent="0.3">
      <c r="A1255" t="s">
        <v>17</v>
      </c>
      <c r="B1255" t="s">
        <v>18</v>
      </c>
      <c r="C1255" t="str">
        <f t="shared" si="131"/>
        <v>400</v>
      </c>
      <c r="D1255" t="str">
        <f>"647985"</f>
        <v>647985</v>
      </c>
      <c r="E1255" t="s">
        <v>19</v>
      </c>
      <c r="F1255" t="s">
        <v>1227</v>
      </c>
      <c r="G1255">
        <v>250</v>
      </c>
      <c r="H1255" t="str">
        <f>""</f>
        <v/>
      </c>
      <c r="I1255">
        <v>39</v>
      </c>
      <c r="J1255">
        <v>0</v>
      </c>
      <c r="K1255" t="str">
        <f t="shared" si="129"/>
        <v>31000</v>
      </c>
      <c r="L1255" t="str">
        <f t="shared" si="137"/>
        <v>0</v>
      </c>
      <c r="M1255" t="str">
        <f t="shared" si="137"/>
        <v>0</v>
      </c>
      <c r="N1255" t="str">
        <f t="shared" si="137"/>
        <v>0</v>
      </c>
    </row>
    <row r="1256" spans="1:14" x14ac:dyDescent="0.3">
      <c r="A1256" t="s">
        <v>17</v>
      </c>
      <c r="B1256" t="s">
        <v>18</v>
      </c>
      <c r="C1256" t="str">
        <f t="shared" si="131"/>
        <v>400</v>
      </c>
      <c r="D1256" t="str">
        <f>"647989"</f>
        <v>647989</v>
      </c>
      <c r="E1256" t="s">
        <v>19</v>
      </c>
      <c r="F1256" t="s">
        <v>1228</v>
      </c>
      <c r="G1256">
        <v>250</v>
      </c>
      <c r="H1256" t="str">
        <f>""</f>
        <v/>
      </c>
      <c r="I1256">
        <v>10.95</v>
      </c>
      <c r="J1256">
        <v>0</v>
      </c>
      <c r="K1256" t="str">
        <f t="shared" si="129"/>
        <v>31000</v>
      </c>
      <c r="L1256" t="str">
        <f t="shared" si="137"/>
        <v>0</v>
      </c>
      <c r="M1256" t="str">
        <f t="shared" si="137"/>
        <v>0</v>
      </c>
      <c r="N1256" t="str">
        <f t="shared" si="137"/>
        <v>0</v>
      </c>
    </row>
    <row r="1257" spans="1:14" x14ac:dyDescent="0.3">
      <c r="A1257" t="s">
        <v>17</v>
      </c>
      <c r="B1257" t="s">
        <v>18</v>
      </c>
      <c r="C1257" t="str">
        <f t="shared" si="131"/>
        <v>400</v>
      </c>
      <c r="D1257" t="str">
        <f>"647990"</f>
        <v>647990</v>
      </c>
      <c r="E1257" t="s">
        <v>19</v>
      </c>
      <c r="F1257" t="s">
        <v>1229</v>
      </c>
      <c r="G1257">
        <v>250</v>
      </c>
      <c r="H1257" t="str">
        <f>""</f>
        <v/>
      </c>
      <c r="I1257">
        <v>17.43</v>
      </c>
      <c r="J1257">
        <v>0</v>
      </c>
      <c r="K1257" t="str">
        <f t="shared" si="129"/>
        <v>31000</v>
      </c>
      <c r="L1257" t="str">
        <f t="shared" si="137"/>
        <v>0</v>
      </c>
      <c r="M1257" t="str">
        <f t="shared" si="137"/>
        <v>0</v>
      </c>
      <c r="N1257" t="str">
        <f t="shared" si="137"/>
        <v>0</v>
      </c>
    </row>
    <row r="1258" spans="1:14" x14ac:dyDescent="0.3">
      <c r="A1258" t="s">
        <v>17</v>
      </c>
      <c r="B1258" t="s">
        <v>18</v>
      </c>
      <c r="C1258" t="str">
        <f t="shared" si="131"/>
        <v>400</v>
      </c>
      <c r="D1258" t="str">
        <f>"647999"</f>
        <v>647999</v>
      </c>
      <c r="E1258" t="s">
        <v>19</v>
      </c>
      <c r="F1258" t="s">
        <v>1230</v>
      </c>
      <c r="G1258">
        <v>250</v>
      </c>
      <c r="H1258" t="str">
        <f>""</f>
        <v/>
      </c>
      <c r="I1258">
        <v>4.5</v>
      </c>
      <c r="J1258">
        <v>0</v>
      </c>
      <c r="K1258" t="str">
        <f t="shared" si="129"/>
        <v>31000</v>
      </c>
      <c r="L1258" t="str">
        <f t="shared" si="137"/>
        <v>0</v>
      </c>
      <c r="M1258" t="str">
        <f t="shared" si="137"/>
        <v>0</v>
      </c>
      <c r="N1258" t="str">
        <f t="shared" si="137"/>
        <v>0</v>
      </c>
    </row>
    <row r="1259" spans="1:14" x14ac:dyDescent="0.3">
      <c r="A1259" t="s">
        <v>17</v>
      </c>
      <c r="B1259" t="s">
        <v>18</v>
      </c>
      <c r="C1259" t="str">
        <f t="shared" si="131"/>
        <v>400</v>
      </c>
      <c r="D1259" t="str">
        <f>"648189"</f>
        <v>648189</v>
      </c>
      <c r="E1259" t="s">
        <v>19</v>
      </c>
      <c r="F1259" t="s">
        <v>1231</v>
      </c>
      <c r="G1259">
        <v>250</v>
      </c>
      <c r="I1259">
        <v>25</v>
      </c>
      <c r="J1259">
        <v>0</v>
      </c>
      <c r="K1259" t="str">
        <f t="shared" ref="K1259:K1276" si="138">"31000"</f>
        <v>31000</v>
      </c>
    </row>
    <row r="1260" spans="1:14" x14ac:dyDescent="0.3">
      <c r="A1260" t="s">
        <v>17</v>
      </c>
      <c r="B1260" t="s">
        <v>18</v>
      </c>
      <c r="C1260" t="str">
        <f t="shared" si="131"/>
        <v>400</v>
      </c>
      <c r="D1260" t="str">
        <f>"651233"</f>
        <v>651233</v>
      </c>
      <c r="E1260" t="s">
        <v>19</v>
      </c>
      <c r="F1260" t="s">
        <v>1232</v>
      </c>
      <c r="G1260">
        <v>250</v>
      </c>
      <c r="I1260">
        <v>0</v>
      </c>
      <c r="J1260">
        <v>0</v>
      </c>
      <c r="K1260" t="str">
        <f t="shared" si="138"/>
        <v>31000</v>
      </c>
    </row>
    <row r="1261" spans="1:14" x14ac:dyDescent="0.3">
      <c r="A1261" t="s">
        <v>17</v>
      </c>
      <c r="B1261" t="s">
        <v>18</v>
      </c>
      <c r="C1261" t="str">
        <f t="shared" si="131"/>
        <v>400</v>
      </c>
      <c r="D1261" t="str">
        <f>"651268"</f>
        <v>651268</v>
      </c>
      <c r="E1261" t="s">
        <v>19</v>
      </c>
      <c r="F1261" t="s">
        <v>1233</v>
      </c>
      <c r="G1261">
        <v>250</v>
      </c>
      <c r="H1261" t="str">
        <f>""</f>
        <v/>
      </c>
      <c r="I1261">
        <v>4.5</v>
      </c>
      <c r="J1261">
        <v>0</v>
      </c>
      <c r="K1261" t="str">
        <f t="shared" si="138"/>
        <v>31000</v>
      </c>
      <c r="L1261" t="str">
        <f t="shared" ref="L1261:N1262" si="139">"0"</f>
        <v>0</v>
      </c>
      <c r="M1261" t="str">
        <f t="shared" si="139"/>
        <v>0</v>
      </c>
      <c r="N1261" t="str">
        <f t="shared" si="139"/>
        <v>0</v>
      </c>
    </row>
    <row r="1262" spans="1:14" x14ac:dyDescent="0.3">
      <c r="A1262" t="s">
        <v>17</v>
      </c>
      <c r="B1262" t="s">
        <v>18</v>
      </c>
      <c r="C1262" t="str">
        <f t="shared" si="131"/>
        <v>400</v>
      </c>
      <c r="D1262" t="str">
        <f>"654125"</f>
        <v>654125</v>
      </c>
      <c r="E1262" t="s">
        <v>19</v>
      </c>
      <c r="F1262" t="s">
        <v>1234</v>
      </c>
      <c r="G1262">
        <v>250</v>
      </c>
      <c r="H1262" t="str">
        <f>""</f>
        <v/>
      </c>
      <c r="I1262">
        <v>4.5</v>
      </c>
      <c r="J1262">
        <v>0</v>
      </c>
      <c r="K1262" t="str">
        <f t="shared" si="138"/>
        <v>31000</v>
      </c>
      <c r="L1262" t="str">
        <f t="shared" si="139"/>
        <v>0</v>
      </c>
      <c r="M1262" t="str">
        <f t="shared" si="139"/>
        <v>0</v>
      </c>
      <c r="N1262" t="str">
        <f t="shared" si="139"/>
        <v>0</v>
      </c>
    </row>
    <row r="1263" spans="1:14" x14ac:dyDescent="0.3">
      <c r="A1263" t="s">
        <v>17</v>
      </c>
      <c r="B1263" t="s">
        <v>18</v>
      </c>
      <c r="C1263" t="str">
        <f t="shared" si="131"/>
        <v>400</v>
      </c>
      <c r="D1263" t="str">
        <f>"655555"</f>
        <v>655555</v>
      </c>
      <c r="E1263" t="s">
        <v>19</v>
      </c>
      <c r="F1263" t="s">
        <v>1235</v>
      </c>
      <c r="G1263">
        <v>250</v>
      </c>
      <c r="I1263">
        <v>10.71</v>
      </c>
      <c r="J1263">
        <v>0</v>
      </c>
      <c r="K1263" t="str">
        <f t="shared" si="138"/>
        <v>31000</v>
      </c>
    </row>
    <row r="1264" spans="1:14" x14ac:dyDescent="0.3">
      <c r="A1264" t="s">
        <v>17</v>
      </c>
      <c r="B1264" t="s">
        <v>18</v>
      </c>
      <c r="C1264" t="str">
        <f t="shared" si="131"/>
        <v>400</v>
      </c>
      <c r="D1264" t="str">
        <f>"678987"</f>
        <v>678987</v>
      </c>
      <c r="E1264" t="s">
        <v>19</v>
      </c>
      <c r="F1264" t="s">
        <v>1236</v>
      </c>
      <c r="G1264">
        <v>250</v>
      </c>
      <c r="I1264">
        <v>4.32</v>
      </c>
      <c r="J1264">
        <v>0</v>
      </c>
      <c r="K1264" t="str">
        <f t="shared" si="138"/>
        <v>31000</v>
      </c>
    </row>
    <row r="1265" spans="1:14" x14ac:dyDescent="0.3">
      <c r="A1265" t="s">
        <v>17</v>
      </c>
      <c r="B1265" t="s">
        <v>18</v>
      </c>
      <c r="C1265" t="str">
        <f t="shared" si="131"/>
        <v>400</v>
      </c>
      <c r="D1265" t="str">
        <f>"684159"</f>
        <v>684159</v>
      </c>
      <c r="E1265" t="s">
        <v>19</v>
      </c>
      <c r="F1265" t="s">
        <v>1237</v>
      </c>
      <c r="G1265">
        <v>250</v>
      </c>
      <c r="H1265" t="str">
        <f>""</f>
        <v/>
      </c>
      <c r="I1265">
        <v>4.5</v>
      </c>
      <c r="J1265">
        <v>0</v>
      </c>
      <c r="K1265" t="str">
        <f t="shared" si="138"/>
        <v>31000</v>
      </c>
      <c r="L1265" t="str">
        <f>"0"</f>
        <v>0</v>
      </c>
      <c r="M1265" t="str">
        <f>"0"</f>
        <v>0</v>
      </c>
      <c r="N1265" t="str">
        <f>"0"</f>
        <v>0</v>
      </c>
    </row>
    <row r="1266" spans="1:14" x14ac:dyDescent="0.3">
      <c r="A1266" t="s">
        <v>17</v>
      </c>
      <c r="B1266" t="s">
        <v>18</v>
      </c>
      <c r="C1266" t="str">
        <f t="shared" si="131"/>
        <v>400</v>
      </c>
      <c r="D1266" t="str">
        <f>"690001"</f>
        <v>690001</v>
      </c>
      <c r="E1266" t="s">
        <v>19</v>
      </c>
      <c r="F1266" t="s">
        <v>1238</v>
      </c>
      <c r="G1266">
        <v>250</v>
      </c>
      <c r="I1266">
        <v>0.27</v>
      </c>
      <c r="J1266">
        <v>0</v>
      </c>
      <c r="K1266" t="str">
        <f t="shared" si="138"/>
        <v>31000</v>
      </c>
    </row>
    <row r="1267" spans="1:14" x14ac:dyDescent="0.3">
      <c r="A1267" t="s">
        <v>17</v>
      </c>
      <c r="B1267" t="s">
        <v>18</v>
      </c>
      <c r="C1267" t="str">
        <f t="shared" si="131"/>
        <v>400</v>
      </c>
      <c r="D1267" t="str">
        <f>"693145"</f>
        <v>693145</v>
      </c>
      <c r="E1267" t="s">
        <v>19</v>
      </c>
      <c r="F1267" t="s">
        <v>1239</v>
      </c>
      <c r="G1267">
        <v>250</v>
      </c>
      <c r="I1267">
        <v>3.5</v>
      </c>
      <c r="J1267">
        <v>0</v>
      </c>
      <c r="K1267" t="str">
        <f t="shared" si="138"/>
        <v>31000</v>
      </c>
    </row>
    <row r="1268" spans="1:14" x14ac:dyDescent="0.3">
      <c r="A1268" t="s">
        <v>17</v>
      </c>
      <c r="B1268" t="s">
        <v>18</v>
      </c>
      <c r="C1268" t="str">
        <f t="shared" si="131"/>
        <v>400</v>
      </c>
      <c r="D1268" t="str">
        <f>"813807"</f>
        <v>813807</v>
      </c>
      <c r="E1268" t="s">
        <v>19</v>
      </c>
      <c r="F1268" t="s">
        <v>1240</v>
      </c>
      <c r="G1268">
        <v>250</v>
      </c>
      <c r="H1268" t="str">
        <f>""</f>
        <v/>
      </c>
      <c r="I1268">
        <v>15</v>
      </c>
      <c r="J1268">
        <v>0</v>
      </c>
      <c r="K1268" t="str">
        <f t="shared" si="138"/>
        <v>31000</v>
      </c>
      <c r="L1268" t="str">
        <f t="shared" ref="L1268:N1276" si="140">"0"</f>
        <v>0</v>
      </c>
      <c r="M1268" t="str">
        <f t="shared" si="140"/>
        <v>0</v>
      </c>
      <c r="N1268" t="str">
        <f t="shared" si="140"/>
        <v>0</v>
      </c>
    </row>
    <row r="1269" spans="1:14" x14ac:dyDescent="0.3">
      <c r="A1269" t="s">
        <v>17</v>
      </c>
      <c r="B1269" t="s">
        <v>18</v>
      </c>
      <c r="C1269" t="str">
        <f t="shared" si="131"/>
        <v>400</v>
      </c>
      <c r="D1269" t="str">
        <f>"813810"</f>
        <v>813810</v>
      </c>
      <c r="E1269" t="s">
        <v>19</v>
      </c>
      <c r="F1269" t="s">
        <v>1241</v>
      </c>
      <c r="G1269">
        <v>250</v>
      </c>
      <c r="H1269" t="str">
        <f>""</f>
        <v/>
      </c>
      <c r="I1269">
        <v>2.5</v>
      </c>
      <c r="J1269">
        <v>0</v>
      </c>
      <c r="K1269" t="str">
        <f t="shared" si="138"/>
        <v>31000</v>
      </c>
      <c r="L1269" t="str">
        <f t="shared" si="140"/>
        <v>0</v>
      </c>
      <c r="M1269" t="str">
        <f t="shared" si="140"/>
        <v>0</v>
      </c>
      <c r="N1269" t="str">
        <f t="shared" si="140"/>
        <v>0</v>
      </c>
    </row>
    <row r="1270" spans="1:14" x14ac:dyDescent="0.3">
      <c r="A1270" t="s">
        <v>17</v>
      </c>
      <c r="B1270" t="s">
        <v>18</v>
      </c>
      <c r="C1270" t="str">
        <f t="shared" si="131"/>
        <v>400</v>
      </c>
      <c r="D1270" t="str">
        <f>"813811"</f>
        <v>813811</v>
      </c>
      <c r="E1270" t="s">
        <v>19</v>
      </c>
      <c r="F1270" t="s">
        <v>1242</v>
      </c>
      <c r="G1270">
        <v>250</v>
      </c>
      <c r="H1270" t="str">
        <f>""</f>
        <v/>
      </c>
      <c r="I1270">
        <v>10.4</v>
      </c>
      <c r="J1270">
        <v>0</v>
      </c>
      <c r="K1270" t="str">
        <f t="shared" si="138"/>
        <v>31000</v>
      </c>
      <c r="L1270" t="str">
        <f t="shared" si="140"/>
        <v>0</v>
      </c>
      <c r="M1270" t="str">
        <f t="shared" si="140"/>
        <v>0</v>
      </c>
      <c r="N1270" t="str">
        <f t="shared" si="140"/>
        <v>0</v>
      </c>
    </row>
    <row r="1271" spans="1:14" x14ac:dyDescent="0.3">
      <c r="A1271" t="s">
        <v>17</v>
      </c>
      <c r="B1271" t="s">
        <v>18</v>
      </c>
      <c r="C1271" t="str">
        <f t="shared" si="131"/>
        <v>400</v>
      </c>
      <c r="D1271" t="str">
        <f>"813814"</f>
        <v>813814</v>
      </c>
      <c r="E1271" t="s">
        <v>19</v>
      </c>
      <c r="F1271" t="s">
        <v>1243</v>
      </c>
      <c r="G1271">
        <v>250</v>
      </c>
      <c r="H1271" t="str">
        <f>""</f>
        <v/>
      </c>
      <c r="I1271">
        <v>2.5</v>
      </c>
      <c r="J1271">
        <v>0</v>
      </c>
      <c r="K1271" t="str">
        <f t="shared" si="138"/>
        <v>31000</v>
      </c>
      <c r="L1271" t="str">
        <f t="shared" si="140"/>
        <v>0</v>
      </c>
      <c r="M1271" t="str">
        <f t="shared" si="140"/>
        <v>0</v>
      </c>
      <c r="N1271" t="str">
        <f t="shared" si="140"/>
        <v>0</v>
      </c>
    </row>
    <row r="1272" spans="1:14" x14ac:dyDescent="0.3">
      <c r="A1272" t="s">
        <v>17</v>
      </c>
      <c r="B1272" t="s">
        <v>18</v>
      </c>
      <c r="C1272" t="str">
        <f t="shared" si="131"/>
        <v>400</v>
      </c>
      <c r="D1272" t="str">
        <f>"845987"</f>
        <v>845987</v>
      </c>
      <c r="E1272" t="s">
        <v>19</v>
      </c>
      <c r="F1272" t="s">
        <v>1244</v>
      </c>
      <c r="G1272">
        <v>250</v>
      </c>
      <c r="H1272" t="str">
        <f>""</f>
        <v/>
      </c>
      <c r="I1272">
        <v>13.5</v>
      </c>
      <c r="J1272">
        <v>0</v>
      </c>
      <c r="K1272" t="str">
        <f t="shared" si="138"/>
        <v>31000</v>
      </c>
      <c r="L1272" t="str">
        <f t="shared" si="140"/>
        <v>0</v>
      </c>
      <c r="M1272" t="str">
        <f t="shared" si="140"/>
        <v>0</v>
      </c>
      <c r="N1272" t="str">
        <f t="shared" si="140"/>
        <v>0</v>
      </c>
    </row>
    <row r="1273" spans="1:14" x14ac:dyDescent="0.3">
      <c r="A1273" t="s">
        <v>17</v>
      </c>
      <c r="B1273" t="s">
        <v>18</v>
      </c>
      <c r="C1273" t="str">
        <f t="shared" si="131"/>
        <v>400</v>
      </c>
      <c r="D1273" t="str">
        <f>"916525"</f>
        <v>916525</v>
      </c>
      <c r="E1273" t="s">
        <v>19</v>
      </c>
      <c r="F1273" t="s">
        <v>1245</v>
      </c>
      <c r="G1273">
        <v>250</v>
      </c>
      <c r="H1273" t="str">
        <f>""</f>
        <v/>
      </c>
      <c r="I1273">
        <v>15.75</v>
      </c>
      <c r="J1273">
        <v>0</v>
      </c>
      <c r="K1273" t="str">
        <f t="shared" si="138"/>
        <v>31000</v>
      </c>
      <c r="L1273" t="str">
        <f t="shared" si="140"/>
        <v>0</v>
      </c>
      <c r="M1273" t="str">
        <f t="shared" si="140"/>
        <v>0</v>
      </c>
      <c r="N1273" t="str">
        <f t="shared" si="140"/>
        <v>0</v>
      </c>
    </row>
    <row r="1274" spans="1:14" x14ac:dyDescent="0.3">
      <c r="A1274" t="s">
        <v>17</v>
      </c>
      <c r="B1274" t="s">
        <v>18</v>
      </c>
      <c r="C1274" t="str">
        <f>"675"</f>
        <v>675</v>
      </c>
      <c r="D1274" t="str">
        <f>"675100"</f>
        <v>675100</v>
      </c>
      <c r="E1274" t="s">
        <v>19</v>
      </c>
      <c r="F1274" t="s">
        <v>1246</v>
      </c>
      <c r="G1274">
        <v>942</v>
      </c>
      <c r="H1274" t="str">
        <f>""</f>
        <v/>
      </c>
      <c r="I1274">
        <v>150</v>
      </c>
      <c r="J1274">
        <v>0</v>
      </c>
      <c r="K1274" t="str">
        <f t="shared" si="138"/>
        <v>31000</v>
      </c>
      <c r="L1274" t="str">
        <f t="shared" si="140"/>
        <v>0</v>
      </c>
      <c r="M1274" t="str">
        <f t="shared" si="140"/>
        <v>0</v>
      </c>
      <c r="N1274" t="str">
        <f t="shared" si="140"/>
        <v>0</v>
      </c>
    </row>
    <row r="1275" spans="1:14" x14ac:dyDescent="0.3">
      <c r="A1275" t="s">
        <v>17</v>
      </c>
      <c r="B1275" t="s">
        <v>18</v>
      </c>
      <c r="C1275" t="str">
        <f>"675"</f>
        <v>675</v>
      </c>
      <c r="D1275" t="str">
        <f>"675125"</f>
        <v>675125</v>
      </c>
      <c r="E1275" t="s">
        <v>19</v>
      </c>
      <c r="F1275" t="s">
        <v>1247</v>
      </c>
      <c r="G1275">
        <v>942</v>
      </c>
      <c r="H1275" t="str">
        <f>""</f>
        <v/>
      </c>
      <c r="I1275">
        <v>75</v>
      </c>
      <c r="J1275">
        <v>0</v>
      </c>
      <c r="K1275" t="str">
        <f t="shared" si="138"/>
        <v>31000</v>
      </c>
      <c r="L1275" t="str">
        <f t="shared" si="140"/>
        <v>0</v>
      </c>
      <c r="M1275" t="str">
        <f t="shared" si="140"/>
        <v>0</v>
      </c>
      <c r="N1275" t="str">
        <f t="shared" si="140"/>
        <v>0</v>
      </c>
    </row>
    <row r="1276" spans="1:14" x14ac:dyDescent="0.3">
      <c r="A1276" t="s">
        <v>17</v>
      </c>
      <c r="B1276" t="s">
        <v>18</v>
      </c>
      <c r="C1276" t="str">
        <f>"675"</f>
        <v>675</v>
      </c>
      <c r="D1276" t="str">
        <f>"675150"</f>
        <v>675150</v>
      </c>
      <c r="E1276" t="s">
        <v>19</v>
      </c>
      <c r="F1276" t="s">
        <v>1248</v>
      </c>
      <c r="G1276">
        <v>942</v>
      </c>
      <c r="H1276" t="str">
        <f>""</f>
        <v/>
      </c>
      <c r="I1276">
        <v>450</v>
      </c>
      <c r="J1276">
        <v>0</v>
      </c>
      <c r="K1276" t="str">
        <f t="shared" si="138"/>
        <v>31000</v>
      </c>
      <c r="L1276" t="str">
        <f t="shared" si="140"/>
        <v>0</v>
      </c>
      <c r="M1276" t="str">
        <f t="shared" si="140"/>
        <v>0</v>
      </c>
      <c r="N1276" t="str">
        <f t="shared" si="140"/>
        <v>0</v>
      </c>
    </row>
  </sheetData>
  <autoFilter ref="A1:Q1276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service_pricing_codes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Dillon Ross</dc:creator>
  <cp:lastModifiedBy>Grant</cp:lastModifiedBy>
  <dcterms:created xsi:type="dcterms:W3CDTF">2021-10-08T15:07:52Z</dcterms:created>
  <dcterms:modified xsi:type="dcterms:W3CDTF">2021-10-08T21:20:56Z</dcterms:modified>
</cp:coreProperties>
</file>